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sercltd-my.sharepoint.com/personal/chris_lloyd_sserc_scot/Documents/Website/Chemistry Specific/Calculators/"/>
    </mc:Choice>
  </mc:AlternateContent>
  <xr:revisionPtr revIDLastSave="12" documentId="13_ncr:1_{E845FC11-DC4E-4504-8732-6A4CE51B2396}" xr6:coauthVersionLast="47" xr6:coauthVersionMax="47" xr10:uidLastSave="{17F3BE62-07F4-4CB1-B1EC-CF7B2850B236}"/>
  <bookViews>
    <workbookView xWindow="22932" yWindow="-108" windowWidth="23256" windowHeight="12576" tabRatio="723" firstSheet="41" activeTab="57" xr2:uid="{00000000-000D-0000-FFFF-FFFF00000000}"/>
  </bookViews>
  <sheets>
    <sheet name="1" sheetId="53" r:id="rId1"/>
    <sheet name="Al" sheetId="1" r:id="rId2"/>
    <sheet name="NH4OH" sheetId="2" r:id="rId3"/>
    <sheet name="NH4x" sheetId="3" r:id="rId4"/>
    <sheet name="Ba" sheetId="4" r:id="rId5"/>
    <sheet name="Ben" sheetId="5" r:id="rId6"/>
    <sheet name="Bi" sheetId="6" r:id="rId7"/>
    <sheet name="Buffers" sheetId="54" r:id="rId8"/>
    <sheet name="Ca" sheetId="7" r:id="rId9"/>
    <sheet name="Ce" sheetId="56" r:id="rId10"/>
    <sheet name="CrO4" sheetId="8" r:id="rId11"/>
    <sheet name="CrIII" sheetId="9" r:id="rId12"/>
    <sheet name="Co" sheetId="10" r:id="rId13"/>
    <sheet name="Cu" sheetId="11" r:id="rId14"/>
    <sheet name="CN-" sheetId="12" r:id="rId15"/>
    <sheet name="DiCr2O7" sheetId="13" r:id="rId16"/>
    <sheet name="ED's" sheetId="14" r:id="rId17"/>
    <sheet name="EtOOH" sheetId="15" r:id="rId18"/>
    <sheet name="EtOH" sheetId="16" r:id="rId19"/>
    <sheet name="Feh" sheetId="57" r:id="rId20"/>
    <sheet name="F-" sheetId="17" r:id="rId21"/>
    <sheet name="HCl" sheetId="18" r:id="rId22"/>
    <sheet name="H2O2" sheetId="55" r:id="rId23"/>
    <sheet name="IO3" sheetId="20" r:id="rId24"/>
    <sheet name="I2" sheetId="21" r:id="rId25"/>
    <sheet name="Iron" sheetId="58" r:id="rId26"/>
    <sheet name="Lead" sheetId="22" r:id="rId27"/>
    <sheet name="Li" sheetId="23" r:id="rId28"/>
    <sheet name="Mg" sheetId="24" r:id="rId29"/>
    <sheet name="Mn" sheetId="25" r:id="rId30"/>
    <sheet name="Hg" sheetId="26" r:id="rId31"/>
    <sheet name="MeOOH" sheetId="27" r:id="rId32"/>
    <sheet name="MeOH" sheetId="28" r:id="rId33"/>
    <sheet name="Naph-OH" sheetId="29" r:id="rId34"/>
    <sheet name="Ni" sheetId="30" r:id="rId35"/>
    <sheet name="NO3" sheetId="31" r:id="rId36"/>
    <sheet name="HNO3" sheetId="32" r:id="rId37"/>
    <sheet name="NO2" sheetId="33" r:id="rId38"/>
    <sheet name="Org Ac1" sheetId="34" r:id="rId39"/>
    <sheet name="Org Ac2" sheetId="35" r:id="rId40"/>
    <sheet name="Org Ac3" sheetId="36" r:id="rId41"/>
    <sheet name="Ph-OH" sheetId="37" r:id="rId42"/>
    <sheet name="PO4" sheetId="38" r:id="rId43"/>
    <sheet name="H3PO4" sheetId="39" r:id="rId44"/>
    <sheet name="K+" sheetId="40" r:id="rId45"/>
    <sheet name="KOH" sheetId="41" r:id="rId46"/>
    <sheet name="KMnO4" sheetId="42" r:id="rId47"/>
    <sheet name="Pr-OOH" sheetId="43" r:id="rId48"/>
    <sheet name="Pr=O" sheetId="44" r:id="rId49"/>
    <sheet name="AG etc" sheetId="59" r:id="rId50"/>
    <sheet name="Na+" sheetId="45" r:id="rId51"/>
    <sheet name="NaOH" sheetId="46" r:id="rId52"/>
    <sheet name="SO3-4" sheetId="47" r:id="rId53"/>
    <sheet name="H2SO4" sheetId="48" r:id="rId54"/>
    <sheet name="SCN" sheetId="49" r:id="rId55"/>
    <sheet name="Tin" sheetId="50" r:id="rId56"/>
    <sheet name="Van" sheetId="51" r:id="rId57"/>
    <sheet name="Zn" sheetId="52" r:id="rId5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59" l="1"/>
  <c r="C2" i="59"/>
  <c r="E3" i="59" s="1"/>
  <c r="E1" i="59"/>
  <c r="E4" i="58"/>
  <c r="E1" i="58" s="1"/>
  <c r="C2" i="58"/>
  <c r="E3" i="58" s="1"/>
  <c r="E4" i="57" l="1"/>
  <c r="E3" i="57"/>
  <c r="C3" i="57"/>
  <c r="E4" i="56"/>
  <c r="E3" i="56"/>
  <c r="E1" i="56"/>
  <c r="C6" i="55" l="1"/>
  <c r="B6" i="55"/>
  <c r="E5" i="55"/>
  <c r="E4" i="55" s="1"/>
  <c r="A5" i="55"/>
  <c r="A2" i="55"/>
  <c r="E3" i="55" s="1"/>
  <c r="E1" i="55" l="1"/>
  <c r="B47" i="54"/>
  <c r="E47" i="54" s="1"/>
  <c r="B46" i="54"/>
  <c r="E46" i="54" s="1"/>
  <c r="B41" i="54" l="1"/>
  <c r="E41" i="54" s="1"/>
  <c r="B40" i="54"/>
  <c r="E40" i="54" s="1"/>
  <c r="B35" i="54" l="1"/>
  <c r="E35" i="54" s="1"/>
  <c r="B34" i="54"/>
  <c r="E34" i="54" s="1"/>
  <c r="B29" i="54" l="1"/>
  <c r="E29" i="54" s="1"/>
  <c r="B28" i="54"/>
  <c r="E28" i="54" s="1"/>
  <c r="B23" i="54" l="1"/>
  <c r="E23" i="54" s="1"/>
  <c r="B22" i="54"/>
  <c r="E22" i="54" s="1"/>
  <c r="B17" i="54" l="1"/>
  <c r="E17" i="54" s="1"/>
  <c r="B16" i="54"/>
  <c r="E16" i="54" s="1"/>
  <c r="B11" i="54" l="1"/>
  <c r="E11" i="54" s="1"/>
  <c r="B10" i="54"/>
  <c r="E10" i="54" s="1"/>
  <c r="B5" i="54" l="1"/>
  <c r="E5" i="54" s="1"/>
  <c r="B4" i="54"/>
  <c r="E4" i="54" s="1"/>
  <c r="E4" i="52" l="1"/>
  <c r="C2" i="52"/>
  <c r="E3" i="52" s="1"/>
  <c r="E1" i="52"/>
  <c r="E4" i="51"/>
  <c r="C2" i="51"/>
  <c r="E3" i="51" s="1"/>
  <c r="E1" i="51" s="1"/>
  <c r="E4" i="50" l="1"/>
  <c r="C2" i="50"/>
  <c r="E3" i="50" s="1"/>
  <c r="E1" i="50"/>
  <c r="E4" i="49" l="1"/>
  <c r="C2" i="49"/>
  <c r="E3" i="49" s="1"/>
  <c r="E1" i="49"/>
  <c r="E5" i="48"/>
  <c r="E4" i="48" s="1"/>
  <c r="E1" i="48" s="1"/>
  <c r="E2" i="48" s="1"/>
  <c r="C2" i="48"/>
  <c r="E3" i="48" s="1"/>
  <c r="E4" i="47" l="1"/>
  <c r="E1" i="47" s="1"/>
  <c r="C2" i="47"/>
  <c r="E3" i="47" s="1"/>
  <c r="E4" i="46"/>
  <c r="E1" i="46" s="1"/>
  <c r="E3" i="46"/>
  <c r="E4" i="45" l="1"/>
  <c r="C2" i="45"/>
  <c r="E3" i="45" s="1"/>
  <c r="E4" i="44"/>
  <c r="E1" i="44" s="1"/>
  <c r="E2" i="44" s="1"/>
  <c r="E3" i="44"/>
  <c r="E1" i="45" l="1"/>
  <c r="E4" i="43"/>
  <c r="E3" i="43"/>
  <c r="E1" i="43" s="1"/>
  <c r="E2" i="43" s="1"/>
  <c r="E4" i="42"/>
  <c r="E1" i="42" s="1"/>
  <c r="E3" i="42"/>
  <c r="E4" i="41"/>
  <c r="E1" i="41" s="1"/>
  <c r="E3" i="41"/>
  <c r="E4" i="40" l="1"/>
  <c r="E1" i="40" s="1"/>
  <c r="C2" i="40"/>
  <c r="E3" i="40" s="1"/>
  <c r="E5" i="39"/>
  <c r="E4" i="39" s="1"/>
  <c r="E1" i="39" s="1"/>
  <c r="E2" i="39" s="1"/>
  <c r="C2" i="39"/>
  <c r="E3" i="39" s="1"/>
  <c r="E4" i="38" l="1"/>
  <c r="E1" i="38" s="1"/>
  <c r="C2" i="38"/>
  <c r="E3" i="38" s="1"/>
  <c r="E4" i="37"/>
  <c r="E1" i="37" s="1"/>
  <c r="E3" i="37"/>
  <c r="E4" i="36"/>
  <c r="E1" i="36" s="1"/>
  <c r="C2" i="36"/>
  <c r="E3" i="36" s="1"/>
  <c r="E4" i="35"/>
  <c r="E1" i="35" s="1"/>
  <c r="C2" i="35"/>
  <c r="E3" i="35" s="1"/>
  <c r="E4" i="34"/>
  <c r="C2" i="34"/>
  <c r="E3" i="34" s="1"/>
  <c r="E1" i="34"/>
  <c r="E4" i="33"/>
  <c r="E1" i="33" s="1"/>
  <c r="C2" i="33"/>
  <c r="E3" i="33" s="1"/>
  <c r="E5" i="32"/>
  <c r="E4" i="32" s="1"/>
  <c r="E1" i="32" s="1"/>
  <c r="E2" i="32" s="1"/>
  <c r="C2" i="32"/>
  <c r="E3" i="32" s="1"/>
  <c r="E4" i="31" l="1"/>
  <c r="E1" i="31" s="1"/>
  <c r="C2" i="31"/>
  <c r="E3" i="31" s="1"/>
  <c r="E4" i="30"/>
  <c r="E1" i="30" s="1"/>
  <c r="C2" i="30"/>
  <c r="E3" i="30" s="1"/>
  <c r="E4" i="29" l="1"/>
  <c r="E3" i="29"/>
  <c r="E1" i="29"/>
  <c r="E4" i="28"/>
  <c r="E3" i="28"/>
  <c r="E1" i="28"/>
  <c r="E2" i="28" s="1"/>
  <c r="E4" i="27" l="1"/>
  <c r="E1" i="27" s="1"/>
  <c r="E2" i="27" s="1"/>
  <c r="E3" i="27"/>
  <c r="E4" i="26"/>
  <c r="C2" i="26"/>
  <c r="E3" i="26" s="1"/>
  <c r="E1" i="26"/>
  <c r="E4" i="25" l="1"/>
  <c r="E1" i="25" s="1"/>
  <c r="C2" i="25"/>
  <c r="E3" i="25" s="1"/>
  <c r="E4" i="24"/>
  <c r="C2" i="24"/>
  <c r="E3" i="24" s="1"/>
  <c r="E1" i="24"/>
  <c r="E4" i="23"/>
  <c r="C2" i="23"/>
  <c r="E3" i="23" s="1"/>
  <c r="E1" i="23"/>
  <c r="E4" i="22"/>
  <c r="E1" i="22" s="1"/>
  <c r="C2" i="22"/>
  <c r="E3" i="22" s="1"/>
  <c r="E4" i="21"/>
  <c r="E1" i="21" s="1"/>
  <c r="E2" i="21" s="1"/>
  <c r="C2" i="21"/>
  <c r="E3" i="21" s="1"/>
  <c r="E4" i="20" l="1"/>
  <c r="C2" i="20"/>
  <c r="E3" i="20" s="1"/>
  <c r="E1" i="20"/>
  <c r="E5" i="18" l="1"/>
  <c r="E4" i="18" s="1"/>
  <c r="E1" i="18" s="1"/>
  <c r="C2" i="18"/>
  <c r="E3" i="18" s="1"/>
  <c r="E4" i="17" l="1"/>
  <c r="C2" i="17"/>
  <c r="E3" i="17" s="1"/>
  <c r="E1" i="17"/>
  <c r="E4" i="16" l="1"/>
  <c r="E3" i="16"/>
  <c r="E1" i="16"/>
  <c r="E2" i="16" s="1"/>
  <c r="E4" i="15" l="1"/>
  <c r="E3" i="15"/>
  <c r="E1" i="15"/>
  <c r="E2" i="15" s="1"/>
  <c r="E4" i="14"/>
  <c r="E1" i="14" s="1"/>
  <c r="C2" i="14"/>
  <c r="E3" i="14" s="1"/>
  <c r="E4" i="13"/>
  <c r="C2" i="13"/>
  <c r="E3" i="13" s="1"/>
  <c r="E1" i="13"/>
  <c r="E4" i="12"/>
  <c r="C2" i="12"/>
  <c r="E3" i="12" s="1"/>
  <c r="E1" i="12"/>
  <c r="E4" i="11"/>
  <c r="E1" i="11" s="1"/>
  <c r="C2" i="11"/>
  <c r="E3" i="11" s="1"/>
  <c r="E4" i="10"/>
  <c r="E1" i="10" s="1"/>
  <c r="C2" i="10"/>
  <c r="E3" i="10" s="1"/>
  <c r="E4" i="9"/>
  <c r="E1" i="9" s="1"/>
  <c r="C2" i="9"/>
  <c r="E3" i="9" s="1"/>
  <c r="E4" i="8"/>
  <c r="E1" i="8" s="1"/>
  <c r="C2" i="8"/>
  <c r="E3" i="8" s="1"/>
  <c r="E4" i="7"/>
  <c r="C2" i="7"/>
  <c r="E3" i="7" s="1"/>
  <c r="E1" i="7"/>
  <c r="E4" i="6"/>
  <c r="E1" i="6" s="1"/>
  <c r="E3" i="6"/>
  <c r="C5" i="5" l="1"/>
  <c r="E4" i="5"/>
  <c r="C4" i="5"/>
  <c r="E3" i="5"/>
  <c r="C3" i="5"/>
  <c r="E1" i="5"/>
  <c r="C6" i="4" l="1"/>
  <c r="E4" i="4"/>
  <c r="C2" i="4"/>
  <c r="E3" i="4" s="1"/>
  <c r="E1" i="4"/>
  <c r="E4" i="3" l="1"/>
  <c r="E1" i="3" s="1"/>
  <c r="C2" i="3"/>
  <c r="E3" i="3" s="1"/>
  <c r="E5" i="2" l="1"/>
  <c r="E4" i="2" s="1"/>
  <c r="E1" i="2" s="1"/>
  <c r="C2" i="2"/>
  <c r="E3" i="2" s="1"/>
  <c r="C2" i="1" l="1"/>
  <c r="E3" i="1" s="1"/>
  <c r="E4" i="1"/>
  <c r="E1" i="1"/>
</calcChain>
</file>

<file path=xl/sharedStrings.xml><?xml version="1.0" encoding="utf-8"?>
<sst xmlns="http://schemas.openxmlformats.org/spreadsheetml/2006/main" count="1015" uniqueCount="363">
  <si>
    <t>Select substance →</t>
  </si>
  <si>
    <t>aluminium potassium sulphate (12 H2O)</t>
  </si>
  <si>
    <t>Mass needed (g) =</t>
  </si>
  <si>
    <t>RMM of substance</t>
  </si>
  <si>
    <t>Molarity required</t>
  </si>
  <si>
    <r>
      <t xml:space="preserve">Enter data in boxes here
</t>
    </r>
    <r>
      <rPr>
        <b/>
        <sz val="10"/>
        <color theme="0"/>
        <rFont val="Arial"/>
        <family val="2"/>
      </rPr>
      <t>←</t>
    </r>
  </si>
  <si>
    <t>OR</t>
  </si>
  <si>
    <t>Percent solution required</t>
  </si>
  <si>
    <r>
      <t>Volume required (cm</t>
    </r>
    <r>
      <rPr>
        <vertAlign val="superscript"/>
        <sz val="10"/>
        <color theme="0"/>
        <rFont val="Arial"/>
        <family val="2"/>
      </rPr>
      <t>3</t>
    </r>
    <r>
      <rPr>
        <sz val="10"/>
        <color theme="0"/>
        <rFont val="Arial"/>
        <family val="2"/>
      </rPr>
      <t>)</t>
    </r>
  </si>
  <si>
    <t>Name</t>
  </si>
  <si>
    <t>RMM</t>
  </si>
  <si>
    <t>aluminium ammonium sulphate (12 H2O)</t>
  </si>
  <si>
    <t>aluminium chloride</t>
  </si>
  <si>
    <t>aluminium ethanoate</t>
  </si>
  <si>
    <t>aluminium nitrate (9H2O)</t>
  </si>
  <si>
    <t>aluminium sulphate</t>
  </si>
  <si>
    <t>Select concentration</t>
  </si>
  <si>
    <t>35% (.880)</t>
  </si>
  <si>
    <r>
      <t>Volume needed (cm</t>
    </r>
    <r>
      <rPr>
        <b/>
        <vertAlign val="superscript"/>
        <sz val="14"/>
        <color theme="0"/>
        <rFont val="Arial"/>
        <family val="2"/>
      </rPr>
      <t>3</t>
    </r>
    <r>
      <rPr>
        <b/>
        <sz val="14"/>
        <color theme="0"/>
        <rFont val="Arial"/>
        <family val="2"/>
      </rPr>
      <t>) =</t>
    </r>
  </si>
  <si>
    <t>Molarity of Current solution</t>
  </si>
  <si>
    <r>
      <t xml:space="preserve">Enter data in boxes here
</t>
    </r>
    <r>
      <rPr>
        <b/>
        <sz val="12"/>
        <color theme="0"/>
        <rFont val="Calibri"/>
        <family val="2"/>
      </rPr>
      <t>←</t>
    </r>
  </si>
  <si>
    <r>
      <t>Volume required (cm</t>
    </r>
    <r>
      <rPr>
        <vertAlign val="superscript"/>
        <sz val="12"/>
        <color theme="0"/>
        <rFont val="Arial"/>
        <family val="2"/>
      </rPr>
      <t>3</t>
    </r>
    <r>
      <rPr>
        <sz val="12"/>
        <color theme="0"/>
        <rFont val="Arial"/>
        <family val="2"/>
      </rPr>
      <t>)</t>
    </r>
  </si>
  <si>
    <t>Original Conc</t>
  </si>
  <si>
    <t>Conc</t>
  </si>
  <si>
    <t>%</t>
  </si>
  <si>
    <t>25% (.630)</t>
  </si>
  <si>
    <t>2M</t>
  </si>
  <si>
    <t>1M</t>
  </si>
  <si>
    <r>
      <t xml:space="preserve">Select substance </t>
    </r>
    <r>
      <rPr>
        <b/>
        <sz val="12"/>
        <color theme="0"/>
        <rFont val="Calibri"/>
        <family val="2"/>
      </rPr>
      <t>→</t>
    </r>
  </si>
  <si>
    <t>ammonium  nitrate</t>
  </si>
  <si>
    <t>ammonium bromide</t>
  </si>
  <si>
    <t>ammonium carbonate</t>
  </si>
  <si>
    <t>ammonium chloride</t>
  </si>
  <si>
    <t>ammonium dichromate</t>
  </si>
  <si>
    <t>ammonium ethanoate</t>
  </si>
  <si>
    <t>ammonium fluoride</t>
  </si>
  <si>
    <t>ammonium iodide</t>
  </si>
  <si>
    <t>ammonium iron II sulphate</t>
  </si>
  <si>
    <t>ammonium iron III citrate</t>
  </si>
  <si>
    <t>ammonium metavanadate</t>
  </si>
  <si>
    <t>ammonium oxalate</t>
  </si>
  <si>
    <t>diammonium phosphate</t>
  </si>
  <si>
    <t xml:space="preserve">ammonium sulphate </t>
  </si>
  <si>
    <t>ammonium sulphide</t>
  </si>
  <si>
    <t>ammonium thiocyanate</t>
  </si>
  <si>
    <t>ammonium tartrate</t>
  </si>
  <si>
    <t>barium nitrate</t>
  </si>
  <si>
    <r>
      <t xml:space="preserve">Enter data in boxes here
</t>
    </r>
    <r>
      <rPr>
        <b/>
        <sz val="10"/>
        <color theme="0"/>
        <rFont val="Arial"/>
        <family val="2"/>
      </rPr>
      <t>←</t>
    </r>
  </si>
  <si>
    <r>
      <t>Volume required (cm</t>
    </r>
    <r>
      <rPr>
        <vertAlign val="superscript"/>
        <sz val="10"/>
        <color theme="0"/>
        <rFont val="Arial"/>
        <family val="2"/>
      </rPr>
      <t>3</t>
    </r>
    <r>
      <rPr>
        <sz val="10"/>
        <color theme="0"/>
        <rFont val="Arial"/>
        <family val="2"/>
      </rPr>
      <t>)</t>
    </r>
  </si>
  <si>
    <t>Solubility in water</t>
  </si>
  <si>
    <t>Solubility</t>
  </si>
  <si>
    <t>barium chloride (2H2O)</t>
  </si>
  <si>
    <r>
      <t>36 g/100cm</t>
    </r>
    <r>
      <rPr>
        <vertAlign val="superscript"/>
        <sz val="11"/>
        <color theme="1"/>
        <rFont val="Calibri"/>
        <family val="2"/>
        <scheme val="minor"/>
      </rPr>
      <t>3</t>
    </r>
  </si>
  <si>
    <t>barium hydroxide (8H2O)</t>
  </si>
  <si>
    <r>
      <t>9 g/100cm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</si>
  <si>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3.89 g/100cm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</si>
  <si>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Select substance </t>
    </r>
    <r>
      <rPr>
        <b/>
        <sz val="10"/>
        <color theme="0"/>
        <rFont val="Calibri"/>
        <family val="2"/>
      </rPr>
      <t>→</t>
    </r>
  </si>
  <si>
    <t>Qualitative</t>
  </si>
  <si>
    <t>Sodium carbonate</t>
  </si>
  <si>
    <t>Potassium thiocyanate</t>
  </si>
  <si>
    <t>Sodium citrate</t>
  </si>
  <si>
    <t>potassium hexacyanoferrate III</t>
  </si>
  <si>
    <t>Copper sulphate</t>
  </si>
  <si>
    <t>Quantitative</t>
  </si>
  <si>
    <t>Substance name</t>
  </si>
  <si>
    <t>bismuth nitrate (5H2O)</t>
  </si>
  <si>
    <t>calcium bromide</t>
  </si>
  <si>
    <t>calcium chloride (6H2O)</t>
  </si>
  <si>
    <t>calcium iodide</t>
  </si>
  <si>
    <t>calcium methanoate</t>
  </si>
  <si>
    <t>calcium nitrate</t>
  </si>
  <si>
    <t>sodium chromate</t>
  </si>
  <si>
    <t>potassium chromate</t>
  </si>
  <si>
    <t>chromium potassium sulphate</t>
  </si>
  <si>
    <t>chromium III chloride (6H2O)</t>
  </si>
  <si>
    <t>chromium III nitrate (9H2O)</t>
  </si>
  <si>
    <t>chromium III sulphate (12H2O)</t>
  </si>
  <si>
    <t>cobalt thiocyanate</t>
  </si>
  <si>
    <r>
      <t>cobalt chloride (6H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O)</t>
    </r>
  </si>
  <si>
    <t>cobalt ethanoate (4H2O)</t>
  </si>
  <si>
    <t>cobalt nitrate (7H2O)</t>
  </si>
  <si>
    <t>cobalt sulphate (7H2O)</t>
  </si>
  <si>
    <t>copper II chloride (2H2O)</t>
  </si>
  <si>
    <t>copper II bromide</t>
  </si>
  <si>
    <t>copper II ethanoate (1H2O)</t>
  </si>
  <si>
    <t>copper II nitrate (3H2O)</t>
  </si>
  <si>
    <t>copper II sulphate (5H2O)</t>
  </si>
  <si>
    <t>sodium cyanide</t>
  </si>
  <si>
    <t>potassium cyanide</t>
  </si>
  <si>
    <t>potassium dichromate</t>
  </si>
  <si>
    <t>sodium dichromate</t>
  </si>
  <si>
    <t>ethanedioic acid</t>
  </si>
  <si>
    <t>ethanedioic acid (2H2O)</t>
  </si>
  <si>
    <t>ammonium ethanedioate</t>
  </si>
  <si>
    <t>potassium ethanedioate</t>
  </si>
  <si>
    <t>sodium ethanedioate</t>
  </si>
  <si>
    <t>Substance Name</t>
  </si>
  <si>
    <t>ethanoic acid</t>
  </si>
  <si>
    <t>Volume needed</t>
  </si>
  <si>
    <t>Ethanol</t>
  </si>
  <si>
    <r>
      <t>Volume needed (cm</t>
    </r>
    <r>
      <rPr>
        <b/>
        <vertAlign val="superscript"/>
        <sz val="10"/>
        <color theme="0"/>
        <rFont val="Arial"/>
        <family val="2"/>
      </rPr>
      <t>3</t>
    </r>
    <r>
      <rPr>
        <b/>
        <sz val="10"/>
        <color theme="0"/>
        <rFont val="Arial"/>
        <family val="2"/>
      </rPr>
      <t>) =</t>
    </r>
  </si>
  <si>
    <t>potassium fluoride</t>
  </si>
  <si>
    <t>sodium fluoride</t>
  </si>
  <si>
    <t>Conc SG 1.18  37%</t>
  </si>
  <si>
    <t>4M</t>
  </si>
  <si>
    <t>Select starting concentration</t>
  </si>
  <si>
    <t>100 vol</t>
  </si>
  <si>
    <t>Concentration required - Vol</t>
  </si>
  <si>
    <t>Concentration required - M</t>
  </si>
  <si>
    <t>Concentration required - %</t>
  </si>
  <si>
    <t>50 vol</t>
  </si>
  <si>
    <t>30 vol</t>
  </si>
  <si>
    <t>20 vol</t>
  </si>
  <si>
    <t>potassium iodate</t>
  </si>
  <si>
    <t>sodium iodate</t>
  </si>
  <si>
    <t>Iodine</t>
  </si>
  <si>
    <r>
      <t>Mass of I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 xml:space="preserve"> needed (g) =</t>
    </r>
  </si>
  <si>
    <t>Mass of KI (g)</t>
  </si>
  <si>
    <r>
      <t xml:space="preserve">Enter data in boxes here
</t>
    </r>
    <r>
      <rPr>
        <b/>
        <sz val="10"/>
        <color theme="2" tint="-0.749992370372631"/>
        <rFont val="Arial"/>
        <family val="2"/>
      </rPr>
      <t>←</t>
    </r>
  </si>
  <si>
    <t>If it is easier, you can simply make up the iodine solution in 0.5M potassium iodide</t>
  </si>
  <si>
    <t>lead ethanoate</t>
  </si>
  <si>
    <t>lead nitrate</t>
  </si>
  <si>
    <t>lithium bromide</t>
  </si>
  <si>
    <t>lithium carbonate</t>
  </si>
  <si>
    <t xml:space="preserve">lithium chloride </t>
  </si>
  <si>
    <t>lithium fluoride</t>
  </si>
  <si>
    <t>lithium hydroxide</t>
  </si>
  <si>
    <t>lithium hydroxide (1H2O)</t>
  </si>
  <si>
    <t>lithium nitrate</t>
  </si>
  <si>
    <t>lithium sulphate</t>
  </si>
  <si>
    <t>lithium sulphate (1H2O)</t>
  </si>
  <si>
    <t>magnesium bromide</t>
  </si>
  <si>
    <t>magnesium chloride (6H2O)</t>
  </si>
  <si>
    <t>magnesium iodide</t>
  </si>
  <si>
    <t>magnesium nitrate (6H2O)</t>
  </si>
  <si>
    <t>magnesium sulphate (7H2O)</t>
  </si>
  <si>
    <t>manganese II bromide (4H2O)</t>
  </si>
  <si>
    <t>manganese II chloride (4H2O)</t>
  </si>
  <si>
    <t>manganese II ethanoate (4H2O)</t>
  </si>
  <si>
    <t>manganese II nitrate (4H2O)</t>
  </si>
  <si>
    <t>manganses II sulphate (1H2O)</t>
  </si>
  <si>
    <t>mercury II chloride</t>
  </si>
  <si>
    <t>mercury Ii nitrate</t>
  </si>
  <si>
    <t>methanoic acid</t>
  </si>
  <si>
    <t>Methanol</t>
  </si>
  <si>
    <t>naphthalene-1/2-ol</t>
  </si>
  <si>
    <t>nickel ammonium sulphate (6H2O)</t>
  </si>
  <si>
    <t>nickel bromide (3H2O)</t>
  </si>
  <si>
    <t>nickel chloride (6H2O)</t>
  </si>
  <si>
    <t>nickel nitrate (6H2O)</t>
  </si>
  <si>
    <t>nickel sulphate (7H2O)</t>
  </si>
  <si>
    <t>ammonium nitrate</t>
  </si>
  <si>
    <t>calcium nitrate (4H2O)</t>
  </si>
  <si>
    <t>potassium nitrate</t>
  </si>
  <si>
    <t>silver nitrate</t>
  </si>
  <si>
    <t>sodium nitrate</t>
  </si>
  <si>
    <t>Conc 70%</t>
  </si>
  <si>
    <t>Mass needed (g)</t>
  </si>
  <si>
    <t>potassium nitrite</t>
  </si>
  <si>
    <t>sodium nitrite</t>
  </si>
  <si>
    <t>hexanoic acid</t>
  </si>
  <si>
    <t>butanoic acid</t>
  </si>
  <si>
    <t>pentanoic acid</t>
  </si>
  <si>
    <t>dodecanoic acid (lauric)</t>
  </si>
  <si>
    <t>hexadecanoic acid (palmitic acid)</t>
  </si>
  <si>
    <t>octadecanoic acid (stearic acid)</t>
  </si>
  <si>
    <t>octadec-9-enoic acid (oleic acid)</t>
  </si>
  <si>
    <t>propanedioic acid (malonic acid)</t>
  </si>
  <si>
    <t>butanedioic acid (succinic acid)</t>
  </si>
  <si>
    <t>cis butenedioic acid (maleic acid)</t>
  </si>
  <si>
    <t>trans butenedioic acid (fumaric acid)</t>
  </si>
  <si>
    <t>2-hydroxybutanedioic acid (malic acid)</t>
  </si>
  <si>
    <t>2,3-dihydroxybutanedioic acid (tartaric acid) </t>
  </si>
  <si>
    <t>citric acid</t>
  </si>
  <si>
    <t>2-hydroxy-propan-1,2,3-tricarboxylic acid-1-water</t>
  </si>
  <si>
    <t>Benzoic acid</t>
  </si>
  <si>
    <t>3-nitrobenzoic acid</t>
  </si>
  <si>
    <t>benzene-dicarboxylic acids</t>
  </si>
  <si>
    <t>cinnamic acid</t>
  </si>
  <si>
    <t>4-aminobenzoic acid</t>
  </si>
  <si>
    <t>ascorbic acid</t>
  </si>
  <si>
    <t>phenol</t>
  </si>
  <si>
    <t>calcium dihydrogen phosphate</t>
  </si>
  <si>
    <t>ammonium phosphate</t>
  </si>
  <si>
    <t>ammonium hydrogen phosphate</t>
  </si>
  <si>
    <t>ammonium dihydrogen phosphate</t>
  </si>
  <si>
    <t>calcium phosphate</t>
  </si>
  <si>
    <t>calcium hydrogen phosphate</t>
  </si>
  <si>
    <t>magnesium phosphate</t>
  </si>
  <si>
    <t>magnesium hydrogen phosphate</t>
  </si>
  <si>
    <t>magnesium dihydrogen phosphate</t>
  </si>
  <si>
    <t>potassium phosphate</t>
  </si>
  <si>
    <t>potassium phosphate-1-water</t>
  </si>
  <si>
    <t>potassium hydrogen phosphate</t>
  </si>
  <si>
    <t>potassium hydrogen phosphate-3-water</t>
  </si>
  <si>
    <t>potassium dihydrogen phosphate</t>
  </si>
  <si>
    <t>sodium phosphate</t>
  </si>
  <si>
    <t>sodium phosphate-12-water</t>
  </si>
  <si>
    <t>sodium hydrogen phosphate</t>
  </si>
  <si>
    <t>sodium hydrogen phosphate-7-water</t>
  </si>
  <si>
    <t>sodium hydrogen phosphate-12-water</t>
  </si>
  <si>
    <t>sodium dihydrogen phosphate</t>
  </si>
  <si>
    <t>sodium dihydrogen phosphate-1-water</t>
  </si>
  <si>
    <t>sodium dihydrogen phosphate-2-water</t>
  </si>
  <si>
    <t>Conc 85%</t>
  </si>
  <si>
    <t>potassium bromide</t>
  </si>
  <si>
    <t>potassium carbonate</t>
  </si>
  <si>
    <t>potassium chloride</t>
  </si>
  <si>
    <t>potassium ethanoate</t>
  </si>
  <si>
    <t>potassium hydrogen carbonate</t>
  </si>
  <si>
    <t>potassium tetraoxalate-2-water</t>
  </si>
  <si>
    <t>potassium iodide</t>
  </si>
  <si>
    <t>potassium molybdate</t>
  </si>
  <si>
    <t>potassium sodium tartrate-4-water (Rochelle salt)</t>
  </si>
  <si>
    <t>potassum hydroxide</t>
  </si>
  <si>
    <t>potassum manganate VII</t>
  </si>
  <si>
    <t>propanoic acid</t>
  </si>
  <si>
    <t>Propanone</t>
  </si>
  <si>
    <t>Sodium alginate</t>
  </si>
  <si>
    <t>sodium azide</t>
  </si>
  <si>
    <t>sodium bromide-2-water</t>
  </si>
  <si>
    <t>sodium carbonate</t>
  </si>
  <si>
    <t>sodium carbonate-10-water</t>
  </si>
  <si>
    <t>sodium sesquicarbonate</t>
  </si>
  <si>
    <t>sodium chloride</t>
  </si>
  <si>
    <t>sodium citrate-2-water</t>
  </si>
  <si>
    <t>sodium dodecyl sulphate</t>
  </si>
  <si>
    <t>sodium ethanoate</t>
  </si>
  <si>
    <t>sodium ethanoate-3-water</t>
  </si>
  <si>
    <t>sodium hexacobaltonitrate III</t>
  </si>
  <si>
    <t>sodium hydrogen carbonate</t>
  </si>
  <si>
    <t>sodium iodide</t>
  </si>
  <si>
    <t>sodium methanoate</t>
  </si>
  <si>
    <t>sodium nitroprusside-2-water</t>
  </si>
  <si>
    <t>sodium oleate</t>
  </si>
  <si>
    <t>sodium stearate</t>
  </si>
  <si>
    <t>sodium silicate</t>
  </si>
  <si>
    <t>sodium sulphate</t>
  </si>
  <si>
    <t>sodium sulphate-10-water</t>
  </si>
  <si>
    <t>sodium sulphide</t>
  </si>
  <si>
    <t>sodium tauroglycholate</t>
  </si>
  <si>
    <t>sodium thiosulphate</t>
  </si>
  <si>
    <t>sodium hydroxide</t>
  </si>
  <si>
    <t>potassium hydrogen sulphate (bisulphate)</t>
  </si>
  <si>
    <t>dipotassium disulphate (metabisulphite)</t>
  </si>
  <si>
    <t>potassium disulphate</t>
  </si>
  <si>
    <t>potassium sulphate IV (sulphite)</t>
  </si>
  <si>
    <t>potassium sulphate VI (sulphate)</t>
  </si>
  <si>
    <t>disodium disulphate (metabisulphite)</t>
  </si>
  <si>
    <t>sodium disulphate</t>
  </si>
  <si>
    <t>Sodium dithionite (hydrosulphite)</t>
  </si>
  <si>
    <t>sodium hydrogen sulphate (bisulphate)</t>
  </si>
  <si>
    <t>sodium hydrogen sulphate-1-water</t>
  </si>
  <si>
    <t>sodium sulphate IV (sulphite)</t>
  </si>
  <si>
    <t>sodium sulphate VI (sulphate)</t>
  </si>
  <si>
    <t>sodium sulphate-12-water</t>
  </si>
  <si>
    <t>Conc 98%</t>
  </si>
  <si>
    <t>potassium thiocyanate</t>
  </si>
  <si>
    <t>sodium thiocyanate</t>
  </si>
  <si>
    <t>a</t>
  </si>
  <si>
    <t>tin(II) chloride, anhydrous</t>
  </si>
  <si>
    <t>tin(II) chloride-2-water</t>
  </si>
  <si>
    <t>tin(II) sulphate</t>
  </si>
  <si>
    <t>ammonium vanadate</t>
  </si>
  <si>
    <t>sodium vanadate</t>
  </si>
  <si>
    <t>zinc chloride</t>
  </si>
  <si>
    <t>zinc iodide</t>
  </si>
  <si>
    <t>zinc nitrate-6-water</t>
  </si>
  <si>
    <t>zinc sulphate-7-water</t>
  </si>
  <si>
    <t>Concentration Calculator</t>
  </si>
  <si>
    <t>Aluminium compounds</t>
  </si>
  <si>
    <t>Ammonia</t>
  </si>
  <si>
    <t>Ammonium compounds</t>
  </si>
  <si>
    <t>Barium compounds</t>
  </si>
  <si>
    <t>Benedict's Reagent</t>
  </si>
  <si>
    <t>Bismuth compounds</t>
  </si>
  <si>
    <t>calcium compounds</t>
  </si>
  <si>
    <t>chromates</t>
  </si>
  <si>
    <t>chromium III compounds</t>
  </si>
  <si>
    <t>cobalt compounds</t>
  </si>
  <si>
    <t>copper compounds</t>
  </si>
  <si>
    <t>cyanides</t>
  </si>
  <si>
    <t>dichromates</t>
  </si>
  <si>
    <t>ethanedioates</t>
  </si>
  <si>
    <t>fluorides</t>
  </si>
  <si>
    <t>iodates</t>
  </si>
  <si>
    <t>iodine</t>
  </si>
  <si>
    <t>lead compounds</t>
  </si>
  <si>
    <t>hydrogen peroxide</t>
  </si>
  <si>
    <t>hydrochloric acid</t>
  </si>
  <si>
    <t>lithium compounds</t>
  </si>
  <si>
    <t>magnesium compounds</t>
  </si>
  <si>
    <t>manganese compounds</t>
  </si>
  <si>
    <t>mercury compounds</t>
  </si>
  <si>
    <t>naphthol</t>
  </si>
  <si>
    <t>nickel compounds</t>
  </si>
  <si>
    <t>nitrates</t>
  </si>
  <si>
    <t>nitric acid</t>
  </si>
  <si>
    <t>nitrites</t>
  </si>
  <si>
    <t>phosphates</t>
  </si>
  <si>
    <t>phosphoric acid</t>
  </si>
  <si>
    <t>potassium compounds</t>
  </si>
  <si>
    <t>potassium hydroxide</t>
  </si>
  <si>
    <t>potassium permanganate</t>
  </si>
  <si>
    <t>sodium compounds</t>
  </si>
  <si>
    <t>sulphuric acid</t>
  </si>
  <si>
    <t>thiocyanates</t>
  </si>
  <si>
    <t>Tin II compounds</t>
  </si>
  <si>
    <t>vanadium_compounds</t>
  </si>
  <si>
    <t>zinc compounds</t>
  </si>
  <si>
    <t>sulphates &amp; sulphites</t>
  </si>
  <si>
    <t>Organic acids-1 (aliphatic, monobasic)</t>
  </si>
  <si>
    <t>Organic acids-2 (aliphatic, polybasic)</t>
  </si>
  <si>
    <t>Organic acids-3 (Aromatic</t>
  </si>
  <si>
    <t>Back to Menu</t>
  </si>
  <si>
    <t>Ammonia Buffer</t>
  </si>
  <si>
    <t>pH</t>
  </si>
  <si>
    <t>0.2M Ammonia</t>
  </si>
  <si>
    <t>0.2M ammonium chloride</t>
  </si>
  <si>
    <t>Select pH</t>
  </si>
  <si>
    <r>
      <t>cm</t>
    </r>
    <r>
      <rPr>
        <b/>
        <vertAlign val="superscript"/>
        <sz val="12"/>
        <color theme="0"/>
        <rFont val="Arial"/>
        <family val="2"/>
      </rPr>
      <t>3</t>
    </r>
  </si>
  <si>
    <t>0.2M ammonia</t>
  </si>
  <si>
    <t>0.1M sodium carbonate</t>
  </si>
  <si>
    <t>0.1M sodium hydrogencarbonate</t>
  </si>
  <si>
    <r>
      <t>0.1M NaHCO</t>
    </r>
    <r>
      <rPr>
        <vertAlign val="subscript"/>
        <sz val="11"/>
        <color theme="1"/>
        <rFont val="Calibri"/>
        <family val="2"/>
        <scheme val="minor"/>
      </rPr>
      <t>3</t>
    </r>
  </si>
  <si>
    <r>
      <t>0.1M Na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CO</t>
    </r>
    <r>
      <rPr>
        <vertAlign val="subscript"/>
        <sz val="11"/>
        <color theme="1"/>
        <rFont val="Calibri"/>
        <family val="2"/>
        <scheme val="minor"/>
      </rPr>
      <t>3</t>
    </r>
  </si>
  <si>
    <t>Carbonate / hydrogencarbonate Buffer</t>
  </si>
  <si>
    <t>0.1M citric acid</t>
  </si>
  <si>
    <t>0.1M trisodium citrate</t>
  </si>
  <si>
    <t>Citric acid / citrate Buffer</t>
  </si>
  <si>
    <t>0.2M disodium hydrogenphosphate</t>
  </si>
  <si>
    <r>
      <t>0.2M Na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HPO</t>
    </r>
    <r>
      <rPr>
        <vertAlign val="subscript"/>
        <sz val="11"/>
        <color theme="1"/>
        <rFont val="Calibri"/>
        <family val="2"/>
        <scheme val="minor"/>
      </rPr>
      <t>4</t>
    </r>
  </si>
  <si>
    <t>Citric acid / phosphate Buffer</t>
  </si>
  <si>
    <t>0.2M sodium ethanoate</t>
  </si>
  <si>
    <t>0.2M ethanoic acid</t>
  </si>
  <si>
    <t>0.2M Na ethanoate</t>
  </si>
  <si>
    <t>Ethanoate (Acetate) Buffer</t>
  </si>
  <si>
    <t>0.05M sodium hydroxide</t>
  </si>
  <si>
    <t>g</t>
  </si>
  <si>
    <t>disodium hydrogen phosphate</t>
  </si>
  <si>
    <r>
      <t>KH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PO</t>
    </r>
    <r>
      <rPr>
        <vertAlign val="subscript"/>
        <sz val="11"/>
        <color theme="1"/>
        <rFont val="Calibri"/>
        <family val="2"/>
        <scheme val="minor"/>
      </rPr>
      <t>4</t>
    </r>
  </si>
  <si>
    <r>
      <t>Na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HPO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.2H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0</t>
    </r>
  </si>
  <si>
    <t>Hydrogencarbonate (Bicarbonate) Buffer</t>
  </si>
  <si>
    <t>TRIS HCl</t>
  </si>
  <si>
    <t>TRIS Base</t>
  </si>
  <si>
    <t>Tris HCl</t>
  </si>
  <si>
    <t>Tris Base</t>
  </si>
  <si>
    <t>Phosphate Buffer</t>
  </si>
  <si>
    <t>TRIS Buffer</t>
  </si>
  <si>
    <t>Make up to final volume with water</t>
  </si>
  <si>
    <t>Buffer Solutions</t>
  </si>
  <si>
    <t xml:space="preserve">- - </t>
  </si>
  <si>
    <t>cerium ammonium sulphate</t>
  </si>
  <si>
    <t>Volume required (cm3) of both solutions</t>
  </si>
  <si>
    <t>Solution A</t>
  </si>
  <si>
    <t>Solution B</t>
  </si>
  <si>
    <t>Sodium hydroxide</t>
  </si>
  <si>
    <t>Potassium sodium tartrate</t>
  </si>
  <si>
    <t>Iron II chloride (4H2O)</t>
  </si>
  <si>
    <t>Iron II sulphate (7H2O)</t>
  </si>
  <si>
    <t>Iron III chloride (6H2O)</t>
  </si>
  <si>
    <t>Iron III nitrate (9H2O)</t>
  </si>
  <si>
    <t>Gold III chloride (chloroauric acid)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</si>
</sst>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;;;"/>
  </numFmts>
  <fonts count="4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6FBD95"/>
      <name val="Arial"/>
      <family val="2"/>
    </font>
    <font>
      <vertAlign val="superscript"/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vertAlign val="superscript"/>
      <sz val="14"/>
      <color theme="0"/>
      <name val="Arial"/>
      <family val="2"/>
    </font>
    <font>
      <b/>
      <sz val="14"/>
      <color rgb="FFFF0000"/>
      <name val="Arial"/>
      <family val="2"/>
    </font>
    <font>
      <b/>
      <sz val="12"/>
      <color theme="0"/>
      <name val="Calibri"/>
      <family val="2"/>
    </font>
    <font>
      <sz val="12"/>
      <color rgb="FF6FBD95"/>
      <name val="Arial"/>
      <family val="2"/>
    </font>
    <font>
      <vertAlign val="superscript"/>
      <sz val="12"/>
      <color theme="0"/>
      <name val="Arial"/>
      <family val="2"/>
    </font>
    <font>
      <b/>
      <sz val="12"/>
      <color rgb="FF6FBD95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6FBD95"/>
      <name val="Arial"/>
      <family val="2"/>
    </font>
    <font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4"/>
      <color rgb="FF6FBD95"/>
      <name val="Arial"/>
      <family val="2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6FBD95"/>
      <name val="Arial"/>
      <family val="2"/>
    </font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color theme="0"/>
      <name val="Arial"/>
      <family val="2"/>
    </font>
    <font>
      <b/>
      <sz val="10"/>
      <color rgb="FF69C599"/>
      <name val="Arial"/>
      <family val="2"/>
    </font>
    <font>
      <b/>
      <vertAlign val="subscript"/>
      <sz val="10"/>
      <color theme="0"/>
      <name val="Arial"/>
      <family val="2"/>
    </font>
    <font>
      <sz val="10"/>
      <color theme="2" tint="-0.749992370372631"/>
      <name val="Arial"/>
      <family val="2"/>
    </font>
    <font>
      <b/>
      <sz val="10"/>
      <color theme="2" tint="-0.749992370372631"/>
      <name val="Arial"/>
      <family val="2"/>
    </font>
    <font>
      <b/>
      <sz val="9"/>
      <color rgb="FF555555"/>
      <name val="Arial"/>
      <family val="2"/>
    </font>
    <font>
      <b/>
      <sz val="8"/>
      <color rgb="FF000000"/>
      <name val="Verdana"/>
      <family val="2"/>
    </font>
    <font>
      <u/>
      <sz val="11"/>
      <color theme="10"/>
      <name val="Calibri"/>
      <family val="2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0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6FBD95"/>
        <bgColor indexed="64"/>
      </patternFill>
    </fill>
    <fill>
      <patternFill patternType="solid">
        <fgColor rgb="FF69C5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2" fontId="0" fillId="0" borderId="0" xfId="0" applyNumberFormat="1" applyAlignment="1">
      <alignment horizontal="center" wrapText="1"/>
    </xf>
    <xf numFmtId="2" fontId="0" fillId="0" borderId="0" xfId="0" applyNumberFormat="1" applyAlignment="1">
      <alignment horizontal="center"/>
    </xf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/>
    <xf numFmtId="165" fontId="12" fillId="2" borderId="0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16" fillId="2" borderId="0" xfId="0" applyFont="1" applyFill="1" applyBorder="1" applyAlignment="1">
      <alignment horizontal="center"/>
    </xf>
    <xf numFmtId="9" fontId="0" fillId="0" borderId="0" xfId="0" applyNumberFormat="1"/>
    <xf numFmtId="9" fontId="0" fillId="0" borderId="0" xfId="0" applyNumberFormat="1" applyAlignment="1">
      <alignment horizontal="center"/>
    </xf>
    <xf numFmtId="0" fontId="0" fillId="0" borderId="0" xfId="0" applyNumberFormat="1"/>
    <xf numFmtId="0" fontId="9" fillId="2" borderId="0" xfId="0" applyFont="1" applyFill="1" applyBorder="1"/>
    <xf numFmtId="164" fontId="12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/>
    <xf numFmtId="0" fontId="17" fillId="2" borderId="0" xfId="0" applyFont="1" applyFill="1" applyBorder="1"/>
    <xf numFmtId="0" fontId="18" fillId="2" borderId="0" xfId="0" applyFont="1" applyFill="1" applyBorder="1"/>
    <xf numFmtId="0" fontId="18" fillId="2" borderId="0" xfId="0" applyFont="1" applyFill="1" applyBorder="1" applyAlignment="1">
      <alignment horizontal="center"/>
    </xf>
    <xf numFmtId="164" fontId="19" fillId="2" borderId="0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2" xfId="0" applyFont="1" applyFill="1" applyBorder="1" applyAlignment="1">
      <alignment vertical="top" wrapText="1"/>
    </xf>
    <xf numFmtId="0" fontId="20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right"/>
    </xf>
    <xf numFmtId="0" fontId="17" fillId="2" borderId="0" xfId="0" applyFont="1" applyFill="1" applyBorder="1" applyAlignment="1">
      <alignment horizontal="center"/>
    </xf>
    <xf numFmtId="0" fontId="21" fillId="2" borderId="0" xfId="0" applyFont="1" applyFill="1"/>
    <xf numFmtId="0" fontId="18" fillId="2" borderId="0" xfId="0" applyFont="1" applyFill="1"/>
    <xf numFmtId="0" fontId="21" fillId="2" borderId="0" xfId="0" applyFont="1" applyFill="1" applyAlignment="1">
      <alignment horizontal="center"/>
    </xf>
    <xf numFmtId="164" fontId="24" fillId="2" borderId="0" xfId="0" applyNumberFormat="1" applyFont="1" applyFill="1" applyBorder="1" applyAlignment="1">
      <alignment horizontal="center"/>
    </xf>
    <xf numFmtId="0" fontId="25" fillId="2" borderId="0" xfId="0" applyFont="1" applyFill="1" applyBorder="1"/>
    <xf numFmtId="0" fontId="26" fillId="2" borderId="0" xfId="0" applyFont="1" applyFill="1" applyBorder="1"/>
    <xf numFmtId="0" fontId="19" fillId="2" borderId="1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horizontal="left" vertical="top" wrapText="1"/>
    </xf>
    <xf numFmtId="0" fontId="27" fillId="2" borderId="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29" fillId="0" borderId="0" xfId="0" applyFont="1" applyAlignment="1">
      <alignment wrapText="1"/>
    </xf>
    <xf numFmtId="0" fontId="0" fillId="0" borderId="0" xfId="0" applyAlignment="1"/>
    <xf numFmtId="0" fontId="31" fillId="2" borderId="0" xfId="0" applyFont="1" applyFill="1" applyBorder="1"/>
    <xf numFmtId="0" fontId="31" fillId="2" borderId="0" xfId="0" applyFont="1" applyFill="1" applyBorder="1" applyAlignment="1">
      <alignment horizontal="center"/>
    </xf>
    <xf numFmtId="0" fontId="32" fillId="2" borderId="0" xfId="0" applyFont="1" applyFill="1" applyBorder="1"/>
    <xf numFmtId="2" fontId="19" fillId="2" borderId="0" xfId="0" applyNumberFormat="1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8" fillId="0" borderId="0" xfId="0" applyFont="1"/>
    <xf numFmtId="0" fontId="39" fillId="0" borderId="0" xfId="0" applyFont="1"/>
    <xf numFmtId="0" fontId="40" fillId="0" borderId="0" xfId="1" applyAlignment="1" applyProtection="1"/>
    <xf numFmtId="0" fontId="0" fillId="6" borderId="0" xfId="0" applyFill="1"/>
    <xf numFmtId="0" fontId="40" fillId="6" borderId="0" xfId="1" applyFill="1" applyBorder="1" applyAlignment="1" applyProtection="1"/>
    <xf numFmtId="0" fontId="0" fillId="6" borderId="0" xfId="0" applyFill="1" applyAlignment="1">
      <alignment horizontal="center"/>
    </xf>
    <xf numFmtId="0" fontId="41" fillId="6" borderId="0" xfId="0" applyFont="1" applyFill="1"/>
    <xf numFmtId="0" fontId="42" fillId="5" borderId="0" xfId="0" applyFont="1" applyFill="1"/>
    <xf numFmtId="0" fontId="9" fillId="2" borderId="3" xfId="0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left"/>
    </xf>
    <xf numFmtId="165" fontId="0" fillId="0" borderId="0" xfId="0" applyNumberFormat="1" applyAlignment="1">
      <alignment horizontal="center"/>
    </xf>
    <xf numFmtId="166" fontId="9" fillId="2" borderId="0" xfId="0" applyNumberFormat="1" applyFont="1" applyFill="1" applyBorder="1" applyAlignment="1">
      <alignment horizontal="center" vertical="center"/>
    </xf>
    <xf numFmtId="0" fontId="44" fillId="2" borderId="0" xfId="0" applyFont="1" applyFill="1" applyBorder="1" applyAlignment="1">
      <alignment vertical="center" wrapText="1"/>
    </xf>
    <xf numFmtId="165" fontId="45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top" wrapText="1"/>
    </xf>
    <xf numFmtId="2" fontId="45" fillId="2" borderId="0" xfId="0" applyNumberFormat="1" applyFont="1" applyFill="1" applyBorder="1" applyAlignment="1">
      <alignment horizontal="left" vertical="center"/>
    </xf>
    <xf numFmtId="2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2" fontId="0" fillId="0" borderId="0" xfId="0" quotePrefix="1" applyNumberFormat="1" applyAlignment="1">
      <alignment horizontal="center" wrapText="1"/>
    </xf>
    <xf numFmtId="165" fontId="4" fillId="2" borderId="0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7" fillId="0" borderId="0" xfId="0" applyFont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46" fillId="2" borderId="3" xfId="0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47" fillId="0" borderId="0" xfId="0" applyFont="1" applyAlignment="1">
      <alignment wrapText="1"/>
    </xf>
    <xf numFmtId="0" fontId="2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  <xf numFmtId="0" fontId="0" fillId="2" borderId="0" xfId="0" applyFill="1" applyAlignment="1">
      <alignment horizontal="center"/>
    </xf>
    <xf numFmtId="0" fontId="36" fillId="2" borderId="0" xfId="0" applyFont="1" applyFill="1" applyBorder="1" applyAlignment="1">
      <alignment horizontal="left" vertical="top" wrapText="1"/>
    </xf>
    <xf numFmtId="0" fontId="0" fillId="4" borderId="0" xfId="0" applyFill="1" applyAlignment="1">
      <alignment horizontal="center"/>
    </xf>
    <xf numFmtId="0" fontId="2" fillId="2" borderId="0" xfId="0" applyFont="1" applyFill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31">
    <dxf>
      <numFmt numFmtId="2" formatCode="0.00"/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numFmt numFmtId="2" formatCode="0.00"/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numFmt numFmtId="0" formatCode="General"/>
    </dxf>
    <dxf>
      <alignment horizontal="center" vertical="bottom" textRotation="0" wrapText="0" relativeIndent="0" justifyLastLine="0" shrinkToFit="0" readingOrder="0"/>
    </dxf>
    <dxf>
      <numFmt numFmtId="13" formatCode="0%"/>
      <alignment horizontal="center" vertical="bottom" textRotation="0" wrapText="0" relativeIndent="0" justifyLastLine="0" shrinkToFit="0" readingOrder="0"/>
    </dxf>
    <dxf>
      <numFmt numFmtId="13" formatCode="0%"/>
    </dxf>
    <dxf>
      <numFmt numFmtId="2" formatCode="0.00"/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numFmt numFmtId="2" formatCode="0.00"/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numFmt numFmtId="2" formatCode="0.00"/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numFmt numFmtId="2" formatCode="0.00"/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numFmt numFmtId="0" formatCode="General"/>
    </dxf>
    <dxf>
      <alignment horizontal="center" vertical="bottom" textRotation="0" wrapText="0" relativeIndent="0" justifyLastLine="0" shrinkToFit="0" readingOrder="0"/>
    </dxf>
    <dxf>
      <numFmt numFmtId="13" formatCode="0%"/>
      <alignment horizontal="center" vertical="bottom" textRotation="0" wrapText="0" relativeIndent="0" justifyLastLine="0" shrinkToFit="0" readingOrder="0"/>
    </dxf>
    <dxf>
      <numFmt numFmtId="13" formatCode="0%"/>
    </dxf>
    <dxf>
      <numFmt numFmtId="2" formatCode="0.00"/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numFmt numFmtId="2" formatCode="0.00"/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numFmt numFmtId="2" formatCode="0.00"/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numFmt numFmtId="2" formatCode="0.00"/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numFmt numFmtId="2" formatCode="0.00"/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numFmt numFmtId="0" formatCode="General"/>
    </dxf>
    <dxf>
      <alignment horizontal="center" vertical="bottom" textRotation="0" wrapText="0" relativeIndent="0" justifyLastLine="0" shrinkToFit="0" readingOrder="0"/>
    </dxf>
    <dxf>
      <numFmt numFmtId="13" formatCode="0%"/>
      <alignment horizontal="center" vertical="bottom" textRotation="0" wrapText="0" relativeIndent="0" justifyLastLine="0" shrinkToFit="0" readingOrder="0"/>
    </dxf>
    <dxf>
      <numFmt numFmtId="13" formatCode="0%"/>
    </dxf>
    <dxf>
      <numFmt numFmtId="2" formatCode="0.00"/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numFmt numFmtId="2" formatCode="0.00"/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numFmt numFmtId="2" formatCode="0.00"/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numFmt numFmtId="2" formatCode="0.00"/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numFmt numFmtId="2" formatCode="0.00"/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numFmt numFmtId="2" formatCode="0.00"/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numFmt numFmtId="0" formatCode="General"/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numFmt numFmtId="13" formatCode="0%"/>
      <alignment horizontal="center" vertical="bottom" textRotation="0" wrapText="0" relativeIndent="0" justifyLastLine="0" shrinkToFit="0" readingOrder="0"/>
    </dxf>
    <dxf>
      <numFmt numFmtId="13" formatCode="0%"/>
    </dxf>
    <dxf>
      <numFmt numFmtId="0" formatCode="General"/>
    </dxf>
    <dxf>
      <alignment horizontal="center" vertical="bottom" textRotation="0" wrapText="0" relativeIndent="0" justifyLastLine="0" shrinkToFit="0" readingOrder="0"/>
    </dxf>
    <dxf>
      <numFmt numFmtId="13" formatCode="0%"/>
      <alignment horizontal="center" vertical="bottom" textRotation="0" wrapText="0" relativeIndent="0" justifyLastLine="0" shrinkToFit="0" readingOrder="0"/>
    </dxf>
    <dxf>
      <numFmt numFmtId="13" formatCode="0%"/>
    </dxf>
    <dxf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numFmt numFmtId="2" formatCode="0.00"/>
      <alignment horizontal="center" vertical="bottom" textRotation="0" wrapText="0" relativeIndent="0" justifyLastLine="0" shrinkToFit="0" readingOrder="0"/>
    </dxf>
    <dxf>
      <numFmt numFmtId="2" formatCode="0.00"/>
      <alignment horizontal="center" vertical="bottom" textRotation="0" wrapText="0" relativeIndent="0" justifyLastLine="0" shrinkToFit="0" readingOrder="0"/>
    </dxf>
    <dxf>
      <numFmt numFmtId="165" formatCode="0.0"/>
      <alignment horizontal="center" vertical="bottom" textRotation="0" wrapText="0" relativeIndent="0" justifyLastLine="0" shrinkToFit="0" readingOrder="0"/>
    </dxf>
    <dxf>
      <numFmt numFmtId="13" formatCode="0%"/>
    </dxf>
    <dxf>
      <numFmt numFmtId="2" formatCode="0.00"/>
      <alignment horizontal="center" vertical="bottom" textRotation="0" wrapText="0" relativeIndent="0" justifyLastLine="0" shrinkToFit="0" readingOrder="0"/>
    </dxf>
    <dxf>
      <numFmt numFmtId="2" formatCode="0.00"/>
      <alignment horizontal="center" vertical="bottom" textRotation="0" wrapText="0" relativeIndent="0" justifyLastLine="0" shrinkToFit="0" readingOrder="0"/>
    </dxf>
    <dxf>
      <numFmt numFmtId="165" formatCode="0.0"/>
      <alignment horizontal="center" vertical="bottom" textRotation="0" wrapText="0" relativeIndent="0" justifyLastLine="0" shrinkToFit="0" readingOrder="0"/>
    </dxf>
    <dxf>
      <numFmt numFmtId="13" formatCode="0%"/>
    </dxf>
    <dxf>
      <numFmt numFmtId="0" formatCode="General"/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numFmt numFmtId="165" formatCode="0.0"/>
      <alignment horizontal="center" vertical="bottom" textRotation="0" wrapText="0" relativeIndent="0" justifyLastLine="0" shrinkToFit="0" readingOrder="0"/>
    </dxf>
    <dxf>
      <numFmt numFmtId="13" formatCode="0%"/>
    </dxf>
    <dxf>
      <numFmt numFmtId="0" formatCode="General"/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numFmt numFmtId="165" formatCode="0.0"/>
      <alignment horizontal="center" vertical="bottom" textRotation="0" wrapText="0" relativeIndent="0" justifyLastLine="0" shrinkToFit="0" readingOrder="0"/>
    </dxf>
    <dxf>
      <numFmt numFmtId="13" formatCode="0%"/>
    </dxf>
    <dxf>
      <numFmt numFmtId="0" formatCode="General"/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numFmt numFmtId="165" formatCode="0.0"/>
      <alignment horizontal="center" vertical="bottom" textRotation="0" wrapText="0" relativeIndent="0" justifyLastLine="0" shrinkToFit="0" readingOrder="0"/>
    </dxf>
    <dxf>
      <numFmt numFmtId="13" formatCode="0%"/>
    </dxf>
    <dxf>
      <numFmt numFmtId="0" formatCode="General"/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numFmt numFmtId="165" formatCode="0.0"/>
      <alignment horizontal="center" vertical="bottom" textRotation="0" wrapText="0" relativeIndent="0" justifyLastLine="0" shrinkToFit="0" readingOrder="0"/>
    </dxf>
    <dxf>
      <numFmt numFmtId="13" formatCode="0%"/>
    </dxf>
    <dxf>
      <numFmt numFmtId="0" formatCode="General"/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numFmt numFmtId="165" formatCode="0.0"/>
      <alignment horizontal="center" vertical="bottom" textRotation="0" wrapText="0" relativeIndent="0" justifyLastLine="0" shrinkToFit="0" readingOrder="0"/>
    </dxf>
    <dxf>
      <numFmt numFmtId="13" formatCode="0%"/>
    </dxf>
    <dxf>
      <numFmt numFmtId="0" formatCode="General"/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numFmt numFmtId="165" formatCode="0.0"/>
      <alignment horizontal="center" vertical="bottom" textRotation="0" wrapText="0" relativeIndent="0" justifyLastLine="0" shrinkToFit="0" readingOrder="0"/>
    </dxf>
    <dxf>
      <numFmt numFmtId="13" formatCode="0%"/>
    </dxf>
    <dxf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font>
        <color rgb="FF6FBD95"/>
      </font>
      <border>
        <left/>
        <right/>
        <top/>
        <bottom/>
        <vertical/>
        <horizontal/>
      </border>
    </dxf>
    <dxf>
      <font>
        <color rgb="FF6FBD95"/>
      </font>
    </dxf>
    <dxf>
      <numFmt numFmtId="2" formatCode="0.00"/>
      <alignment horizontal="center" vertical="bottom" textRotation="0" wrapText="1" relativeIndent="0" justifyLastLine="0" shrinkToFit="0" readingOrder="0"/>
    </dxf>
    <dxf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numFmt numFmtId="0" formatCode="General"/>
    </dxf>
    <dxf>
      <alignment horizontal="center" vertical="bottom" textRotation="0" wrapText="0" relativeIndent="0" justifyLastLine="0" shrinkToFit="0" readingOrder="0"/>
    </dxf>
    <dxf>
      <numFmt numFmtId="13" formatCode="0%"/>
      <alignment horizontal="center" vertical="bottom" textRotation="0" wrapText="0" relativeIndent="0" justifyLastLine="0" shrinkToFit="0" readingOrder="0"/>
    </dxf>
    <dxf>
      <numFmt numFmtId="13" formatCode="0%"/>
    </dxf>
    <dxf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relativeIndent="0" justifyLastLine="0" shrinkToFit="0" readingOrder="0"/>
    </dxf>
  </dxfs>
  <tableStyles count="0" defaultTableStyle="TableStyleMedium9" defaultPivotStyle="PivotStyleLight16"/>
  <colors>
    <mruColors>
      <color rgb="FF6FB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76200</xdr:rowOff>
    </xdr:from>
    <xdr:to>
      <xdr:col>5</xdr:col>
      <xdr:colOff>590550</xdr:colOff>
      <xdr:row>1</xdr:row>
      <xdr:rowOff>1057275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438150"/>
          <a:ext cx="7591425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/>
            <a:t>The links below take you to the concentration calculators that are found on the relevant pages of the SSERC Hazardous Chemicals Database. </a:t>
          </a:r>
        </a:p>
        <a:p>
          <a:r>
            <a:rPr lang="en-GB" sz="1100"/>
            <a:t>It will have entries that occur on that page</a:t>
          </a:r>
          <a:r>
            <a:rPr lang="en-GB" sz="1100" baseline="0"/>
            <a:t> so you may need to consult the page to find out where to locate the appropriate calculator.</a:t>
          </a:r>
          <a:endParaRPr lang="en-GB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9:C15" totalsRowShown="0">
  <autoFilter ref="B9:C15" xr:uid="{00000000-0009-0000-0100-000001000000}"/>
  <tableColumns count="2">
    <tableColumn id="1" xr3:uid="{00000000-0010-0000-0000-000001000000}" name="Name" dataDxfId="130"/>
    <tableColumn id="2" xr3:uid="{00000000-0010-0000-0000-000002000000}" name="RMM" dataDxfId="129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09000000}" name="Table146" displayName="Table146" ref="I45:K56" totalsRowShown="0" headerRowDxfId="99">
  <autoFilter ref="I45:K56" xr:uid="{00000000-0009-0000-0100-00002D000000}"/>
  <tableColumns count="3">
    <tableColumn id="1" xr3:uid="{00000000-0010-0000-0900-000001000000}" name="pH" dataDxfId="98"/>
    <tableColumn id="2" xr3:uid="{00000000-0010-0000-0900-000002000000}" name="0.2M Na ethanoate" dataDxfId="97"/>
    <tableColumn id="3" xr3:uid="{00000000-0010-0000-0900-000003000000}" name="0.2M ethanoic acid" dataDxfId="96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0A000000}" name="Table147" displayName="Table147" ref="N46:P57" totalsRowShown="0" headerRowDxfId="95">
  <autoFilter ref="N46:P57" xr:uid="{00000000-0009-0000-0100-00002E000000}"/>
  <tableColumns count="3">
    <tableColumn id="1" xr3:uid="{00000000-0010-0000-0A00-000001000000}" name="pH" dataDxfId="94"/>
    <tableColumn id="2" xr3:uid="{00000000-0010-0000-0A00-000002000000}" name="0.1M NaHCO3" dataDxfId="93"/>
    <tableColumn id="3" xr3:uid="{00000000-0010-0000-0A00-000003000000}" name="0.05M sodium hydroxide" dataDxfId="92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0B000000}" name="Table148" displayName="Table148" ref="I60:K84" totalsRowShown="0" headerRowDxfId="91">
  <autoFilter ref="I60:K84" xr:uid="{00000000-0009-0000-0100-00002F000000}"/>
  <tableColumns count="3">
    <tableColumn id="1" xr3:uid="{00000000-0010-0000-0B00-000001000000}" name="pH" dataDxfId="90"/>
    <tableColumn id="2" xr3:uid="{00000000-0010-0000-0B00-000002000000}" name="KH2PO4" dataDxfId="89"/>
    <tableColumn id="3" xr3:uid="{00000000-0010-0000-0B00-000003000000}" name="Na2HPO4.2H20" dataDxfId="88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0C000000}" name="Table149" displayName="Table149" ref="N60:P84" totalsRowShown="0" headerRowDxfId="87">
  <autoFilter ref="N60:P84" xr:uid="{00000000-0009-0000-0100-000030000000}"/>
  <tableColumns count="3">
    <tableColumn id="1" xr3:uid="{00000000-0010-0000-0C00-000001000000}" name="pH" dataDxfId="86"/>
    <tableColumn id="2" xr3:uid="{00000000-0010-0000-0C00-000002000000}" name="Tris HCl" dataDxfId="85"/>
    <tableColumn id="3" xr3:uid="{00000000-0010-0000-0C00-000003000000}" name="Tris Base" dataDxfId="84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D000000}" name="Table17" displayName="Table17" ref="B9:C14" totalsRowShown="0">
  <autoFilter ref="B9:C14" xr:uid="{00000000-0009-0000-0100-000006000000}"/>
  <tableColumns count="2">
    <tableColumn id="1" xr3:uid="{00000000-0010-0000-0D00-000001000000}" name="Name" dataDxfId="83"/>
    <tableColumn id="2" xr3:uid="{00000000-0010-0000-0D00-000002000000}" name="RMM" dataDxfId="82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E000000}" name="Table18" displayName="Table18" ref="B9:C11" totalsRowShown="0">
  <autoFilter ref="B9:C11" xr:uid="{00000000-0009-0000-0100-000007000000}"/>
  <tableColumns count="2">
    <tableColumn id="1" xr3:uid="{00000000-0010-0000-0E00-000001000000}" name="Name" dataDxfId="81"/>
    <tableColumn id="2" xr3:uid="{00000000-0010-0000-0E00-000002000000}" name="RMM" dataDxfId="80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F000000}" name="Table19" displayName="Table19" ref="B9:C13" totalsRowShown="0">
  <autoFilter ref="B9:C13" xr:uid="{00000000-0009-0000-0100-000008000000}"/>
  <tableColumns count="2">
    <tableColumn id="1" xr3:uid="{00000000-0010-0000-0F00-000001000000}" name="Name" dataDxfId="79"/>
    <tableColumn id="2" xr3:uid="{00000000-0010-0000-0F00-000002000000}" name="RMM" dataDxfId="78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10000000}" name="Table110" displayName="Table110" ref="B9:C14" totalsRowShown="0">
  <autoFilter ref="B9:C14" xr:uid="{00000000-0009-0000-0100-000009000000}"/>
  <tableColumns count="2">
    <tableColumn id="1" xr3:uid="{00000000-0010-0000-1000-000001000000}" name="Name" dataDxfId="77"/>
    <tableColumn id="2" xr3:uid="{00000000-0010-0000-1000-000002000000}" name="RMM" dataDxfId="76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11000000}" name="Table111" displayName="Table111" ref="B9:C14" totalsRowShown="0">
  <autoFilter ref="B9:C14" xr:uid="{00000000-0009-0000-0100-00000A000000}"/>
  <tableColumns count="2">
    <tableColumn id="1" xr3:uid="{00000000-0010-0000-1100-000001000000}" name="Name" dataDxfId="75"/>
    <tableColumn id="2" xr3:uid="{00000000-0010-0000-1100-000002000000}" name="RMM" dataDxfId="74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12000000}" name="Table112" displayName="Table112" ref="B9:C11" totalsRowShown="0">
  <autoFilter ref="B9:C11" xr:uid="{00000000-0009-0000-0100-00000B000000}"/>
  <tableColumns count="2">
    <tableColumn id="1" xr3:uid="{00000000-0010-0000-1200-000001000000}" name="Name" dataDxfId="73"/>
    <tableColumn id="2" xr3:uid="{00000000-0010-0000-1200-000002000000}" name="RMM" dataDxfId="7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B11:D15" totalsRowShown="0" headerRowDxfId="128">
  <autoFilter ref="B11:D15" xr:uid="{00000000-0009-0000-0100-000002000000}"/>
  <tableColumns count="3">
    <tableColumn id="1" xr3:uid="{00000000-0010-0000-0100-000001000000}" name="Original Conc" dataDxfId="127"/>
    <tableColumn id="2" xr3:uid="{00000000-0010-0000-0100-000002000000}" name="Conc" dataDxfId="126"/>
    <tableColumn id="3" xr3:uid="{00000000-0010-0000-0100-000003000000}" name="%" dataDxfId="125">
      <calculatedColumnFormula>ISNUMBER(Table13[[#This Row],[Conc]])</calculatedColumnFormula>
    </tableColumn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3000000}" name="Table113" displayName="Table113" ref="B9:C11" totalsRowShown="0">
  <autoFilter ref="B9:C11" xr:uid="{00000000-0009-0000-0100-00000C000000}"/>
  <tableColumns count="2">
    <tableColumn id="1" xr3:uid="{00000000-0010-0000-1300-000001000000}" name="Name" dataDxfId="71"/>
    <tableColumn id="2" xr3:uid="{00000000-0010-0000-1300-000002000000}" name="RMM" dataDxfId="70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14000000}" name="Table114" displayName="Table114" ref="B9:C14" totalsRowShown="0">
  <autoFilter ref="B9:C14" xr:uid="{00000000-0009-0000-0100-00000D000000}"/>
  <tableColumns count="2">
    <tableColumn id="1" xr3:uid="{00000000-0010-0000-1400-000001000000}" name="Name" dataDxfId="69"/>
    <tableColumn id="2" xr3:uid="{00000000-0010-0000-1400-000002000000}" name="RMM" dataDxfId="68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15000000}" name="Table115" displayName="Table115" ref="B9:C12" totalsRowShown="0">
  <autoFilter ref="B9:C12" xr:uid="{00000000-0009-0000-0100-00000E000000}"/>
  <tableColumns count="2">
    <tableColumn id="1" xr3:uid="{00000000-0010-0000-1500-000001000000}" name="Name" dataDxfId="67"/>
    <tableColumn id="2" xr3:uid="{00000000-0010-0000-1500-000002000000}" name="RMM" dataDxfId="66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16000000}" name="Table116" displayName="Table116" ref="B9:D14" totalsRowShown="0" headerRowDxfId="65">
  <autoFilter ref="B9:D14" xr:uid="{00000000-0009-0000-0100-00000F000000}"/>
  <tableColumns count="3">
    <tableColumn id="1" xr3:uid="{00000000-0010-0000-1600-000001000000}" name="Original Conc" dataDxfId="64"/>
    <tableColumn id="2" xr3:uid="{00000000-0010-0000-1600-000002000000}" name="Conc" dataDxfId="63"/>
    <tableColumn id="3" xr3:uid="{00000000-0010-0000-1600-000003000000}" name="%" dataDxfId="62">
      <calculatedColumnFormula>ISNUMBER(Table116[[#This Row],[Conc]])</calculatedColumnFormula>
    </tableColumn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1359B254-6B8F-4333-BBC5-FADC6CA638AC}" name="Table150" displayName="Table150" ref="B9:D13" totalsRowShown="0" headerRowDxfId="61">
  <autoFilter ref="B9:D13" xr:uid="{00000000-0009-0000-0100-000001000000}"/>
  <tableColumns count="3">
    <tableColumn id="1" xr3:uid="{0651B15B-B5C9-46B6-9EC7-9BED84DDB514}" name="Original Conc" dataDxfId="60"/>
    <tableColumn id="2" xr3:uid="{F55B8098-F427-4E23-9C36-A9574EC96D85}" name="Conc" dataDxfId="59"/>
    <tableColumn id="3" xr3:uid="{C81E5EB6-D135-460D-8989-A6F96D272104}" name="%" dataDxfId="58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8000000}" name="Table118" displayName="Table118" ref="B9:C11" totalsRowShown="0">
  <autoFilter ref="B9:C11" xr:uid="{00000000-0009-0000-0100-000011000000}"/>
  <tableColumns count="2">
    <tableColumn id="1" xr3:uid="{00000000-0010-0000-1800-000001000000}" name="Name" dataDxfId="57"/>
    <tableColumn id="2" xr3:uid="{00000000-0010-0000-1800-000002000000}" name="RMM" dataDxfId="56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9000000}" name="Table119" displayName="Table119" ref="B9:C11" totalsRowShown="0">
  <autoFilter ref="B9:C11" xr:uid="{00000000-0009-0000-0100-000012000000}"/>
  <tableColumns count="2">
    <tableColumn id="1" xr3:uid="{00000000-0010-0000-1900-000001000000}" name="Name" dataDxfId="55"/>
    <tableColumn id="2" xr3:uid="{00000000-0010-0000-1900-000002000000}" name="RMM" dataDxfId="54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265A8CC7-3C55-494D-88E2-C7144D5651E1}" name="Table117" displayName="Table117" ref="B9:C13" totalsRowShown="0">
  <autoFilter ref="B9:C13" xr:uid="{00000000-0009-0000-0100-000001000000}"/>
  <tableColumns count="2">
    <tableColumn id="1" xr3:uid="{C470ECC1-51B4-4EEA-9EE3-A7AAA5C225DA}" name="Name" dataDxfId="53"/>
    <tableColumn id="2" xr3:uid="{573D5002-AD9F-43B3-BA2C-585E78F51987}" name="RMM" dataDxfId="52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A000000}" name="Table120" displayName="Table120" ref="B9:C11" totalsRowShown="0">
  <autoFilter ref="B9:C11" xr:uid="{00000000-0009-0000-0100-000013000000}"/>
  <tableColumns count="2">
    <tableColumn id="1" xr3:uid="{00000000-0010-0000-1A00-000001000000}" name="Name" dataDxfId="51"/>
    <tableColumn id="2" xr3:uid="{00000000-0010-0000-1A00-000002000000}" name="RMM" dataDxfId="50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B000000}" name="Table121" displayName="Table121" ref="B9:C18" totalsRowShown="0">
  <autoFilter ref="B9:C18" xr:uid="{00000000-0009-0000-0100-000014000000}"/>
  <tableColumns count="2">
    <tableColumn id="1" xr3:uid="{00000000-0010-0000-1B00-000001000000}" name="Name" dataDxfId="49"/>
    <tableColumn id="2" xr3:uid="{00000000-0010-0000-1B00-000002000000}" name="RMM" dataDxfId="48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4" displayName="Table14" ref="B9:C26" totalsRowShown="0">
  <autoFilter ref="B9:C26" xr:uid="{00000000-0009-0000-0100-000003000000}"/>
  <tableColumns count="2">
    <tableColumn id="1" xr3:uid="{00000000-0010-0000-0200-000001000000}" name="Name" dataDxfId="124"/>
    <tableColumn id="2" xr3:uid="{00000000-0010-0000-0200-000002000000}" name="RMM" dataDxfId="123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C000000}" name="Table122" displayName="Table122" ref="B9:C14" totalsRowShown="0">
  <autoFilter ref="B9:C14" xr:uid="{00000000-0009-0000-0100-000015000000}"/>
  <tableColumns count="2">
    <tableColumn id="1" xr3:uid="{00000000-0010-0000-1C00-000001000000}" name="Name" dataDxfId="47"/>
    <tableColumn id="2" xr3:uid="{00000000-0010-0000-1C00-000002000000}" name="RMM" dataDxfId="46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D000000}" name="Table123" displayName="Table123" ref="B9:C14" totalsRowShown="0">
  <autoFilter ref="B9:C14" xr:uid="{00000000-0009-0000-0100-000016000000}"/>
  <tableColumns count="2">
    <tableColumn id="1" xr3:uid="{00000000-0010-0000-1D00-000001000000}" name="Name" dataDxfId="45"/>
    <tableColumn id="2" xr3:uid="{00000000-0010-0000-1D00-000002000000}" name="RMM" dataDxfId="44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E000000}" name="Table124" displayName="Table124" ref="B9:C11" totalsRowShown="0">
  <autoFilter ref="B9:C11" xr:uid="{00000000-0009-0000-0100-000017000000}"/>
  <tableColumns count="2">
    <tableColumn id="1" xr3:uid="{00000000-0010-0000-1E00-000001000000}" name="Name" dataDxfId="43"/>
    <tableColumn id="2" xr3:uid="{00000000-0010-0000-1E00-000002000000}" name="RMM" dataDxfId="42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F000000}" name="Table125" displayName="Table125" ref="B9:C14" totalsRowShown="0">
  <autoFilter ref="B9:C14" xr:uid="{00000000-0009-0000-0100-000018000000}"/>
  <tableColumns count="2">
    <tableColumn id="1" xr3:uid="{00000000-0010-0000-1F00-000001000000}" name="Name" dataDxfId="41"/>
    <tableColumn id="2" xr3:uid="{00000000-0010-0000-1F00-000002000000}" name="RMM" dataDxfId="40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20000000}" name="Table126" displayName="Table126" ref="B9:C16" totalsRowShown="0">
  <autoFilter ref="B9:C16" xr:uid="{00000000-0009-0000-0100-000019000000}"/>
  <tableColumns count="2">
    <tableColumn id="1" xr3:uid="{00000000-0010-0000-2000-000001000000}" name="Name" dataDxfId="39"/>
    <tableColumn id="2" xr3:uid="{00000000-0010-0000-2000-000002000000}" name="RMM" dataDxfId="38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21000000}" name="Table127" displayName="Table127" ref="B9:D12" totalsRowShown="0" headerRowDxfId="37">
  <autoFilter ref="B9:D12" xr:uid="{00000000-0009-0000-0100-00001A000000}"/>
  <tableColumns count="3">
    <tableColumn id="1" xr3:uid="{00000000-0010-0000-2100-000001000000}" name="Original Conc" dataDxfId="36"/>
    <tableColumn id="2" xr3:uid="{00000000-0010-0000-2100-000002000000}" name="Conc" dataDxfId="35"/>
    <tableColumn id="3" xr3:uid="{00000000-0010-0000-2100-000003000000}" name="%" dataDxfId="34">
      <calculatedColumnFormula>ISNUMBER(Table127[[#This Row],[Conc]])</calculatedColumnFormula>
    </tableColumn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22000000}" name="Table128" displayName="Table128" ref="B9:C11" totalsRowShown="0">
  <autoFilter ref="B9:C11" xr:uid="{00000000-0009-0000-0100-00001B000000}"/>
  <tableColumns count="2">
    <tableColumn id="1" xr3:uid="{00000000-0010-0000-2200-000001000000}" name="Name" dataDxfId="33"/>
    <tableColumn id="2" xr3:uid="{00000000-0010-0000-2200-000002000000}" name="RMM" dataDxfId="32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23000000}" name="Table129" displayName="Table129" ref="B9:C16" totalsRowShown="0">
  <autoFilter ref="B9:C16" xr:uid="{00000000-0009-0000-0100-00001C000000}"/>
  <tableColumns count="2">
    <tableColumn id="1" xr3:uid="{00000000-0010-0000-2300-000001000000}" name="Name" dataDxfId="31"/>
    <tableColumn id="2" xr3:uid="{00000000-0010-0000-2300-000002000000}" name="RMM" dataDxfId="30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24000000}" name="Table130" displayName="Table130" ref="B9:C17" totalsRowShown="0">
  <autoFilter ref="B9:C17" xr:uid="{00000000-0009-0000-0100-00001D000000}"/>
  <tableColumns count="2">
    <tableColumn id="1" xr3:uid="{00000000-0010-0000-2400-000001000000}" name="Name" dataDxfId="29"/>
    <tableColumn id="2" xr3:uid="{00000000-0010-0000-2400-000002000000}" name="RMM" dataDxfId="28"/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25000000}" name="Table131" displayName="Table131" ref="B9:C15" totalsRowShown="0">
  <autoFilter ref="B9:C15" xr:uid="{00000000-0009-0000-0100-00001E000000}"/>
  <tableColumns count="2">
    <tableColumn id="1" xr3:uid="{00000000-0010-0000-2500-000001000000}" name="Name" dataDxfId="27"/>
    <tableColumn id="2" xr3:uid="{00000000-0010-0000-2500-000002000000}" name="RMM" dataDxfId="26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15" displayName="Table15" ref="B9:D12" totalsRowShown="0">
  <autoFilter ref="B9:D12" xr:uid="{00000000-0009-0000-0100-000004000000}"/>
  <tableColumns count="3">
    <tableColumn id="1" xr3:uid="{00000000-0010-0000-0300-000001000000}" name="Name" dataDxfId="122"/>
    <tableColumn id="2" xr3:uid="{00000000-0010-0000-0300-000002000000}" name="RMM" dataDxfId="121"/>
    <tableColumn id="3" xr3:uid="{00000000-0010-0000-0300-000003000000}" name="Solubility" dataDxfId="120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26000000}" name="Table132" displayName="Table132" ref="B9:C31" totalsRowShown="0">
  <autoFilter ref="B9:C31" xr:uid="{00000000-0009-0000-0100-00001F000000}"/>
  <tableColumns count="2">
    <tableColumn id="1" xr3:uid="{00000000-0010-0000-2600-000001000000}" name="Name" dataDxfId="25"/>
    <tableColumn id="2" xr3:uid="{00000000-0010-0000-2600-000002000000}" name="RMM" dataDxfId="24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27000000}" name="Table133" displayName="Table133" ref="B9:D12" totalsRowShown="0" headerRowDxfId="23">
  <autoFilter ref="B9:D12" xr:uid="{00000000-0009-0000-0100-000020000000}"/>
  <tableColumns count="3">
    <tableColumn id="1" xr3:uid="{00000000-0010-0000-2700-000001000000}" name="Original Conc" dataDxfId="22"/>
    <tableColumn id="2" xr3:uid="{00000000-0010-0000-2700-000002000000}" name="Conc" dataDxfId="21"/>
    <tableColumn id="3" xr3:uid="{00000000-0010-0000-2700-000003000000}" name="%" dataDxfId="20">
      <calculatedColumnFormula>ISNUMBER(Table133[[#This Row],[Conc]])</calculatedColumnFormula>
    </tableColumn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8000000}" name="Table134" displayName="Table134" ref="B9:C18" totalsRowShown="0">
  <autoFilter ref="B9:C18" xr:uid="{00000000-0009-0000-0100-000021000000}"/>
  <tableColumns count="2">
    <tableColumn id="1" xr3:uid="{00000000-0010-0000-2800-000001000000}" name="Name" dataDxfId="19"/>
    <tableColumn id="2" xr3:uid="{00000000-0010-0000-2800-000002000000}" name="RMM" dataDxfId="18"/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9816AF1E-DDF0-435F-9D52-DE2B7CED339C}" name="Table151" displayName="Table151" ref="B9:C12" totalsRowShown="0">
  <autoFilter ref="B9:C12" xr:uid="{00000000-0009-0000-0100-000001000000}"/>
  <tableColumns count="2">
    <tableColumn id="1" xr3:uid="{D879E26F-838B-4A89-A760-71EDF79B889F}" name="Name" dataDxfId="17"/>
    <tableColumn id="2" xr3:uid="{EBA2A266-3FC0-4F71-BE56-A311FCBCFC3D}" name="RMM" dataDxfId="16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9000000}" name="Table135" displayName="Table135" ref="B9:C33" totalsRowShown="0">
  <autoFilter ref="B9:C33" xr:uid="{00000000-0009-0000-0100-000022000000}"/>
  <tableColumns count="2">
    <tableColumn id="1" xr3:uid="{00000000-0010-0000-2900-000001000000}" name="Name" dataDxfId="15"/>
    <tableColumn id="2" xr3:uid="{00000000-0010-0000-2900-000002000000}" name="RMM" dataDxfId="14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A000000}" name="Table136" displayName="Table136" ref="B9:C23" totalsRowShown="0">
  <autoFilter ref="B9:C23" xr:uid="{00000000-0009-0000-0100-000023000000}"/>
  <tableColumns count="2">
    <tableColumn id="1" xr3:uid="{00000000-0010-0000-2A00-000001000000}" name="Name" dataDxfId="13"/>
    <tableColumn id="2" xr3:uid="{00000000-0010-0000-2A00-000002000000}" name="RMM" dataDxfId="12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B000000}" name="Table137" displayName="Table137" ref="B9:D12" totalsRowShown="0" headerRowDxfId="11">
  <autoFilter ref="B9:D12" xr:uid="{00000000-0009-0000-0100-000024000000}"/>
  <tableColumns count="3">
    <tableColumn id="1" xr3:uid="{00000000-0010-0000-2B00-000001000000}" name="Original Conc" dataDxfId="10"/>
    <tableColumn id="2" xr3:uid="{00000000-0010-0000-2B00-000002000000}" name="Conc" dataDxfId="9"/>
    <tableColumn id="3" xr3:uid="{00000000-0010-0000-2B00-000003000000}" name="%" dataDxfId="8">
      <calculatedColumnFormula>ISNUMBER(Table137[[#This Row],[Conc]])</calculatedColumnFormula>
    </tableColumn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C000000}" name="Table138" displayName="Table138" ref="B9:C12" totalsRowShown="0">
  <autoFilter ref="B9:C12" xr:uid="{00000000-0009-0000-0100-000025000000}"/>
  <tableColumns count="2">
    <tableColumn id="1" xr3:uid="{00000000-0010-0000-2C00-000001000000}" name="Name" dataDxfId="7"/>
    <tableColumn id="2" xr3:uid="{00000000-0010-0000-2C00-000002000000}" name="RMM" dataDxfId="6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D000000}" name="Table139" displayName="Table139" ref="B9:C13" totalsRowShown="0">
  <autoFilter ref="B9:C13" xr:uid="{00000000-0009-0000-0100-000026000000}"/>
  <tableColumns count="2">
    <tableColumn id="1" xr3:uid="{00000000-0010-0000-2D00-000001000000}" name="Name" dataDxfId="5"/>
    <tableColumn id="2" xr3:uid="{00000000-0010-0000-2D00-000002000000}" name="RMM" dataDxfId="4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E000000}" name="Table140" displayName="Table140" ref="B9:C11" totalsRowShown="0">
  <autoFilter ref="B9:C11" xr:uid="{00000000-0009-0000-0100-000027000000}"/>
  <tableColumns count="2">
    <tableColumn id="1" xr3:uid="{00000000-0010-0000-2E00-000001000000}" name="Name" dataDxfId="3"/>
    <tableColumn id="2" xr3:uid="{00000000-0010-0000-2E00-000002000000}" name="RMM" dataDxfId="2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16" displayName="Table16" ref="B9:C11" totalsRowShown="0">
  <autoFilter ref="B9:C11" xr:uid="{00000000-0009-0000-0100-000005000000}"/>
  <tableColumns count="2">
    <tableColumn id="1" xr3:uid="{00000000-0010-0000-0400-000001000000}" name="Name" dataDxfId="117"/>
    <tableColumn id="2" xr3:uid="{00000000-0010-0000-0400-000002000000}" name="RMM" dataDxfId="116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F000000}" name="Table141" displayName="Table141" ref="B9:C13" totalsRowShown="0">
  <autoFilter ref="B9:C13" xr:uid="{00000000-0009-0000-0100-000028000000}"/>
  <tableColumns count="2">
    <tableColumn id="1" xr3:uid="{00000000-0010-0000-2F00-000001000000}" name="Name" dataDxfId="1"/>
    <tableColumn id="2" xr3:uid="{00000000-0010-0000-2F00-000002000000}" name="RMM" dataDxfId="0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05000000}" name="Table142" displayName="Table142" ref="I2:K13" totalsRowShown="0" headerRowDxfId="115">
  <autoFilter ref="I2:K13" xr:uid="{00000000-0009-0000-0100-000029000000}"/>
  <tableColumns count="3">
    <tableColumn id="1" xr3:uid="{00000000-0010-0000-0500-000001000000}" name="pH" dataDxfId="114"/>
    <tableColumn id="2" xr3:uid="{00000000-0010-0000-0500-000002000000}" name="0.2M Ammonia" dataDxfId="113"/>
    <tableColumn id="3" xr3:uid="{00000000-0010-0000-0500-000003000000}" name="0.2M ammonium chloride" dataDxfId="112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06000000}" name="Table143" displayName="Table143" ref="O2:Q13" totalsRowShown="0" headerRowDxfId="111">
  <autoFilter ref="O2:Q13" xr:uid="{00000000-0009-0000-0100-00002A000000}"/>
  <tableColumns count="3">
    <tableColumn id="1" xr3:uid="{00000000-0010-0000-0600-000001000000}" name="pH" dataDxfId="110"/>
    <tableColumn id="2" xr3:uid="{00000000-0010-0000-0600-000002000000}" name="0.1M NaHCO3" dataDxfId="109"/>
    <tableColumn id="3" xr3:uid="{00000000-0010-0000-0600-000003000000}" name="0.1M Na2CO3" dataDxfId="108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07000000}" name="Table144" displayName="Table144" ref="I16:K42" totalsRowShown="0" headerRowDxfId="107">
  <autoFilter ref="I16:K42" xr:uid="{00000000-0009-0000-0100-00002B000000}"/>
  <tableColumns count="3">
    <tableColumn id="1" xr3:uid="{00000000-0010-0000-0700-000001000000}" name="pH" dataDxfId="106"/>
    <tableColumn id="2" xr3:uid="{00000000-0010-0000-0700-000002000000}" name="0.1M citric acid" dataDxfId="105"/>
    <tableColumn id="3" xr3:uid="{00000000-0010-0000-0700-000003000000}" name="0.1M trisodium citrate" dataDxfId="104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08000000}" name="Table145" displayName="Table145" ref="N16:P42" totalsRowShown="0" headerRowDxfId="103">
  <autoFilter ref="N16:P42" xr:uid="{00000000-0009-0000-0100-00002C000000}"/>
  <tableColumns count="3">
    <tableColumn id="1" xr3:uid="{00000000-0010-0000-0800-000001000000}" name="pH" dataDxfId="102"/>
    <tableColumn id="2" xr3:uid="{00000000-0010-0000-0800-000002000000}" name="0.1M citric acid" dataDxfId="101"/>
    <tableColumn id="3" xr3:uid="{00000000-0010-0000-0800-000003000000}" name="0.2M Na2HPO4" dataDxfId="10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28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29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0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1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3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3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36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37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38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43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4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46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47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48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8.xml"/><Relationship Id="rId1" Type="http://schemas.openxmlformats.org/officeDocument/2006/relationships/printerSettings" Target="../printerSettings/printerSettings49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50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0.xml"/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2.xml"/><Relationship Id="rId3" Type="http://schemas.openxmlformats.org/officeDocument/2006/relationships/table" Target="../tables/table7.xml"/><Relationship Id="rId7" Type="http://schemas.openxmlformats.org/officeDocument/2006/relationships/table" Target="../tables/table11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Relationship Id="rId9" Type="http://schemas.openxmlformats.org/officeDocument/2006/relationships/table" Target="../tables/table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workbookViewId="0">
      <selection activeCell="A22" sqref="A22"/>
    </sheetView>
  </sheetViews>
  <sheetFormatPr defaultRowHeight="14.4" x14ac:dyDescent="0.3"/>
  <cols>
    <col min="1" max="1" width="36.5546875" customWidth="1"/>
    <col min="2" max="2" width="41" customWidth="1"/>
  </cols>
  <sheetData>
    <row r="1" spans="1:6" ht="28.8" x14ac:dyDescent="0.55000000000000004">
      <c r="A1" s="67" t="s">
        <v>269</v>
      </c>
      <c r="B1" s="64"/>
      <c r="C1" s="64"/>
      <c r="D1" s="64"/>
      <c r="E1" s="64"/>
      <c r="F1" s="64"/>
    </row>
    <row r="2" spans="1:6" ht="93.75" customHeight="1" x14ac:dyDescent="0.3"/>
    <row r="3" spans="1:6" x14ac:dyDescent="0.3">
      <c r="A3" s="63" t="s">
        <v>270</v>
      </c>
      <c r="B3" s="63" t="s">
        <v>143</v>
      </c>
    </row>
    <row r="4" spans="1:6" x14ac:dyDescent="0.3">
      <c r="A4" s="63" t="s">
        <v>271</v>
      </c>
      <c r="B4" s="63" t="s">
        <v>144</v>
      </c>
    </row>
    <row r="5" spans="1:6" x14ac:dyDescent="0.3">
      <c r="A5" s="63" t="s">
        <v>272</v>
      </c>
      <c r="B5" s="63" t="s">
        <v>294</v>
      </c>
    </row>
    <row r="6" spans="1:6" x14ac:dyDescent="0.3">
      <c r="A6" s="63" t="s">
        <v>273</v>
      </c>
      <c r="B6" s="63" t="s">
        <v>295</v>
      </c>
    </row>
    <row r="7" spans="1:6" x14ac:dyDescent="0.3">
      <c r="A7" s="63" t="s">
        <v>274</v>
      </c>
      <c r="B7" s="63" t="s">
        <v>296</v>
      </c>
    </row>
    <row r="8" spans="1:6" x14ac:dyDescent="0.3">
      <c r="A8" s="63" t="s">
        <v>275</v>
      </c>
      <c r="B8" s="63" t="s">
        <v>297</v>
      </c>
    </row>
    <row r="9" spans="1:6" x14ac:dyDescent="0.3">
      <c r="A9" s="63" t="s">
        <v>350</v>
      </c>
      <c r="B9" s="63" t="s">
        <v>298</v>
      </c>
    </row>
    <row r="10" spans="1:6" x14ac:dyDescent="0.3">
      <c r="A10" s="63" t="s">
        <v>276</v>
      </c>
      <c r="B10" s="63" t="s">
        <v>311</v>
      </c>
    </row>
    <row r="11" spans="1:6" x14ac:dyDescent="0.3">
      <c r="A11" s="63" t="s">
        <v>277</v>
      </c>
      <c r="B11" s="63" t="s">
        <v>312</v>
      </c>
    </row>
    <row r="12" spans="1:6" x14ac:dyDescent="0.3">
      <c r="A12" s="63" t="s">
        <v>278</v>
      </c>
      <c r="B12" s="63" t="s">
        <v>313</v>
      </c>
    </row>
    <row r="13" spans="1:6" x14ac:dyDescent="0.3">
      <c r="A13" s="63" t="s">
        <v>279</v>
      </c>
      <c r="B13" s="63" t="s">
        <v>181</v>
      </c>
    </row>
    <row r="14" spans="1:6" x14ac:dyDescent="0.3">
      <c r="A14" s="63" t="s">
        <v>280</v>
      </c>
      <c r="B14" s="63" t="s">
        <v>299</v>
      </c>
    </row>
    <row r="15" spans="1:6" x14ac:dyDescent="0.3">
      <c r="A15" s="63" t="s">
        <v>281</v>
      </c>
      <c r="B15" s="63" t="s">
        <v>300</v>
      </c>
    </row>
    <row r="16" spans="1:6" x14ac:dyDescent="0.3">
      <c r="A16" s="63" t="s">
        <v>282</v>
      </c>
      <c r="B16" s="63" t="s">
        <v>301</v>
      </c>
    </row>
    <row r="17" spans="1:2" x14ac:dyDescent="0.3">
      <c r="A17" s="63" t="s">
        <v>283</v>
      </c>
      <c r="B17" s="63" t="s">
        <v>302</v>
      </c>
    </row>
    <row r="18" spans="1:2" x14ac:dyDescent="0.3">
      <c r="A18" s="63" t="s">
        <v>97</v>
      </c>
      <c r="B18" s="63" t="s">
        <v>303</v>
      </c>
    </row>
    <row r="19" spans="1:2" x14ac:dyDescent="0.3">
      <c r="A19" s="63" t="s">
        <v>99</v>
      </c>
      <c r="B19" s="63" t="s">
        <v>216</v>
      </c>
    </row>
    <row r="20" spans="1:2" x14ac:dyDescent="0.3">
      <c r="A20" s="63" t="s">
        <v>284</v>
      </c>
      <c r="B20" s="63" t="s">
        <v>217</v>
      </c>
    </row>
    <row r="21" spans="1:2" x14ac:dyDescent="0.3">
      <c r="A21" s="63" t="s">
        <v>289</v>
      </c>
      <c r="B21" s="63" t="s">
        <v>304</v>
      </c>
    </row>
    <row r="22" spans="1:2" x14ac:dyDescent="0.3">
      <c r="A22" s="63" t="s">
        <v>288</v>
      </c>
      <c r="B22" s="63" t="s">
        <v>242</v>
      </c>
    </row>
    <row r="23" spans="1:2" x14ac:dyDescent="0.3">
      <c r="A23" s="63" t="s">
        <v>285</v>
      </c>
      <c r="B23" s="63" t="s">
        <v>310</v>
      </c>
    </row>
    <row r="24" spans="1:2" x14ac:dyDescent="0.3">
      <c r="A24" s="63" t="s">
        <v>286</v>
      </c>
      <c r="B24" s="63" t="s">
        <v>305</v>
      </c>
    </row>
    <row r="25" spans="1:2" x14ac:dyDescent="0.3">
      <c r="A25" s="63" t="s">
        <v>287</v>
      </c>
      <c r="B25" s="63" t="s">
        <v>306</v>
      </c>
    </row>
    <row r="26" spans="1:2" x14ac:dyDescent="0.3">
      <c r="A26" s="63" t="s">
        <v>290</v>
      </c>
      <c r="B26" s="63" t="s">
        <v>307</v>
      </c>
    </row>
    <row r="27" spans="1:2" x14ac:dyDescent="0.3">
      <c r="A27" s="63" t="s">
        <v>291</v>
      </c>
      <c r="B27" s="63" t="s">
        <v>308</v>
      </c>
    </row>
    <row r="28" spans="1:2" x14ac:dyDescent="0.3">
      <c r="A28" s="63" t="s">
        <v>292</v>
      </c>
      <c r="B28" s="63" t="s">
        <v>309</v>
      </c>
    </row>
    <row r="29" spans="1:2" x14ac:dyDescent="0.3">
      <c r="A29" s="63" t="s">
        <v>293</v>
      </c>
    </row>
  </sheetData>
  <hyperlinks>
    <hyperlink ref="A3" location="Al!A1" display="Aluminium compounds" xr:uid="{00000000-0004-0000-0000-000000000000}"/>
    <hyperlink ref="A4" location="NH4OH!A1" display="Ammonia" xr:uid="{00000000-0004-0000-0000-000001000000}"/>
    <hyperlink ref="A5" location="NH4x!A1" display="Ammonium compounds" xr:uid="{00000000-0004-0000-0000-000002000000}"/>
    <hyperlink ref="A6" location="Ba!A1" display="Barium compounds" xr:uid="{00000000-0004-0000-0000-000003000000}"/>
    <hyperlink ref="A7" location="Ben!A1" display="Benedict's Reagent" xr:uid="{00000000-0004-0000-0000-000004000000}"/>
    <hyperlink ref="A8" location="Bi!A1" display="Bismuth compounds" xr:uid="{00000000-0004-0000-0000-000005000000}"/>
    <hyperlink ref="A10" location="Ca!A1" display="calcium compounds" xr:uid="{00000000-0004-0000-0000-000006000000}"/>
    <hyperlink ref="A11" location="'CrO4'!A1" display="chromates" xr:uid="{00000000-0004-0000-0000-000007000000}"/>
    <hyperlink ref="A12" location="CrIII!A1" display="chromium III compounds" xr:uid="{00000000-0004-0000-0000-000008000000}"/>
    <hyperlink ref="A13" location="Co!A1" display="cobalt compounds" xr:uid="{00000000-0004-0000-0000-000009000000}"/>
    <hyperlink ref="A14" location="Cu!A1" display="copper compounds" xr:uid="{00000000-0004-0000-0000-00000A000000}"/>
    <hyperlink ref="A15" location="'CN-'!A1" display="cyanides" xr:uid="{00000000-0004-0000-0000-00000B000000}"/>
    <hyperlink ref="A16" location="DiCr2O7!A1" display="dichromates" xr:uid="{00000000-0004-0000-0000-00000C000000}"/>
    <hyperlink ref="A17" location="'ED''s'!A1" display="ethanedioates" xr:uid="{00000000-0004-0000-0000-00000D000000}"/>
    <hyperlink ref="A18" location="EtOOH!A1" display="ethanoic acid" xr:uid="{00000000-0004-0000-0000-00000E000000}"/>
    <hyperlink ref="A19" location="EtOH!A1" display="Ethanol" xr:uid="{00000000-0004-0000-0000-00000F000000}"/>
    <hyperlink ref="A20" location="'F-'!A1" display="fluorides" xr:uid="{00000000-0004-0000-0000-000010000000}"/>
    <hyperlink ref="A21" location="HCl!A1" display="hydrochloric acid" xr:uid="{00000000-0004-0000-0000-000011000000}"/>
    <hyperlink ref="A22" location="H2O2!A1" display="hydrogen peroxide" xr:uid="{00000000-0004-0000-0000-000012000000}"/>
    <hyperlink ref="A23" location="'IO3'!A1" display="iodates" xr:uid="{00000000-0004-0000-0000-000013000000}"/>
    <hyperlink ref="A24" location="'I2'!A1" display="iodine" xr:uid="{00000000-0004-0000-0000-000014000000}"/>
    <hyperlink ref="A25" location="Lead!A1" display="lead compounds" xr:uid="{00000000-0004-0000-0000-000015000000}"/>
    <hyperlink ref="A26" location="Li!A1" display="lithium compounds" xr:uid="{00000000-0004-0000-0000-000016000000}"/>
    <hyperlink ref="A27" location="Mg!A1" display="magnesium compounds" xr:uid="{00000000-0004-0000-0000-000017000000}"/>
    <hyperlink ref="A28" location="Mn!A1" display="manganese compounds" xr:uid="{00000000-0004-0000-0000-000018000000}"/>
    <hyperlink ref="A29" location="Hg!A1" display="mercury compounds" xr:uid="{00000000-0004-0000-0000-000019000000}"/>
    <hyperlink ref="B3" location="MeOOH!A1" display="methanoic acid" xr:uid="{00000000-0004-0000-0000-00001A000000}"/>
    <hyperlink ref="B4" location="MeOH!A1" display="Methanol" xr:uid="{00000000-0004-0000-0000-00001B000000}"/>
    <hyperlink ref="B5" location="'Naph-OH'!A1" display="naphthol" xr:uid="{00000000-0004-0000-0000-00001C000000}"/>
    <hyperlink ref="B6" location="Ni!A1" display="nickel compounds" xr:uid="{00000000-0004-0000-0000-00001D000000}"/>
    <hyperlink ref="B7" location="'NO3'!A1" display="nitrates" xr:uid="{00000000-0004-0000-0000-00001E000000}"/>
    <hyperlink ref="B8" location="'HNO3'!A1" display="nitric acid" xr:uid="{00000000-0004-0000-0000-00001F000000}"/>
    <hyperlink ref="B9" location="'NO2'!A1" display="nitrites" xr:uid="{00000000-0004-0000-0000-000020000000}"/>
    <hyperlink ref="B10" location="'Org Ac1'!A1" display="Organic acids-1" xr:uid="{00000000-0004-0000-0000-000021000000}"/>
    <hyperlink ref="B11" location="'Org Ac2'!A1" display="Organic acids-2" xr:uid="{00000000-0004-0000-0000-000022000000}"/>
    <hyperlink ref="B12" location="'Org Ac3'!A1" display="Organic acids-3" xr:uid="{00000000-0004-0000-0000-000023000000}"/>
    <hyperlink ref="B13" location="'Ph-OH'!A1" display="phenol" xr:uid="{00000000-0004-0000-0000-000024000000}"/>
    <hyperlink ref="B14" location="'PO4'!A1" display="phosphates" xr:uid="{00000000-0004-0000-0000-000025000000}"/>
    <hyperlink ref="B15" location="H3PO4!A1" display="phosphoric acid" xr:uid="{00000000-0004-0000-0000-000026000000}"/>
    <hyperlink ref="B16" location="'K+'!A1" display="potassium compounds" xr:uid="{00000000-0004-0000-0000-000027000000}"/>
    <hyperlink ref="B17" location="KOH!A1" display="potassium hydroxide" xr:uid="{00000000-0004-0000-0000-000028000000}"/>
    <hyperlink ref="B18" location="KMnO4!A1" display="potassium permanganate" xr:uid="{00000000-0004-0000-0000-000029000000}"/>
    <hyperlink ref="B19" location="'Pr-OOH'!A1" display="propanoic acid" xr:uid="{00000000-0004-0000-0000-00002A000000}"/>
    <hyperlink ref="B20" location="'Pr=O'!A1" display="Propanone" xr:uid="{00000000-0004-0000-0000-00002B000000}"/>
    <hyperlink ref="B21" location="'Na+'!A1" display="sodium compounds" xr:uid="{00000000-0004-0000-0000-00002C000000}"/>
    <hyperlink ref="B22" location="NaOH!A1" display="sodium hydroxide" xr:uid="{00000000-0004-0000-0000-00002D000000}"/>
    <hyperlink ref="B23" location="'SO3-4'!A1" display="sulphates sulphites" xr:uid="{00000000-0004-0000-0000-00002E000000}"/>
    <hyperlink ref="B24" location="H2SO4!A1" display="sulphuric acid" xr:uid="{00000000-0004-0000-0000-00002F000000}"/>
    <hyperlink ref="B25" location="SCN!A1" display="thiocyanates" xr:uid="{00000000-0004-0000-0000-000030000000}"/>
    <hyperlink ref="B26" location="Tin!A1" display="Tin II compounds" xr:uid="{00000000-0004-0000-0000-000031000000}"/>
    <hyperlink ref="B27" location="Van!A1" display="vanadium_compounds" xr:uid="{00000000-0004-0000-0000-000032000000}"/>
    <hyperlink ref="B28" location="Zn!A1" display="zinc compounds" xr:uid="{00000000-0004-0000-0000-000033000000}"/>
    <hyperlink ref="A9" location="Buffers!A1" display="Buffer Solutions" xr:uid="{00000000-0004-0000-0000-000034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D3B21-D5AF-4D02-A034-4BAB0F4DBB8C}">
  <dimension ref="A1:H11"/>
  <sheetViews>
    <sheetView workbookViewId="0">
      <selection activeCell="B25" sqref="B25"/>
    </sheetView>
  </sheetViews>
  <sheetFormatPr defaultRowHeight="14.4" x14ac:dyDescent="0.3"/>
  <cols>
    <col min="1" max="1" width="5.5546875" customWidth="1"/>
    <col min="2" max="2" width="22.33203125" customWidth="1"/>
    <col min="3" max="3" width="33.5546875" style="1" customWidth="1"/>
    <col min="4" max="4" width="22" customWidth="1"/>
    <col min="5" max="5" width="10.44140625" style="1" customWidth="1"/>
    <col min="6" max="6" width="4.6640625" customWidth="1"/>
    <col min="8" max="8" width="10.88671875" bestFit="1" customWidth="1"/>
  </cols>
  <sheetData>
    <row r="1" spans="1:8" ht="15.6" x14ac:dyDescent="0.3">
      <c r="A1" s="83"/>
      <c r="B1" s="84" t="s">
        <v>64</v>
      </c>
      <c r="C1" s="85" t="s">
        <v>352</v>
      </c>
      <c r="D1" s="84" t="s">
        <v>2</v>
      </c>
      <c r="E1" s="86">
        <f>IF(ISBLANK(C3),E4,E3)</f>
        <v>0</v>
      </c>
      <c r="H1" s="2"/>
    </row>
    <row r="2" spans="1:8" ht="15" thickBot="1" x14ac:dyDescent="0.35">
      <c r="A2" s="83"/>
      <c r="B2" s="83" t="s">
        <v>3</v>
      </c>
      <c r="C2" s="85">
        <v>632.54999999999995</v>
      </c>
      <c r="D2" s="83"/>
      <c r="E2" s="83"/>
    </row>
    <row r="3" spans="1:8" ht="17.25" customHeight="1" thickTop="1" thickBot="1" x14ac:dyDescent="0.35">
      <c r="A3" s="83"/>
      <c r="B3" s="83" t="s">
        <v>4</v>
      </c>
      <c r="C3" s="11"/>
      <c r="D3" s="101" t="s">
        <v>20</v>
      </c>
      <c r="E3" s="87">
        <f>C2*C3*(C5/1000)</f>
        <v>0</v>
      </c>
      <c r="F3" s="2"/>
      <c r="G3" s="2"/>
      <c r="H3" s="2"/>
    </row>
    <row r="4" spans="1:8" ht="16.8" thickTop="1" thickBot="1" x14ac:dyDescent="0.35">
      <c r="A4" s="88" t="s">
        <v>6</v>
      </c>
      <c r="B4" s="83" t="s">
        <v>7</v>
      </c>
      <c r="C4" s="11"/>
      <c r="D4" s="101"/>
      <c r="E4" s="87">
        <f>(C5/100)*C4</f>
        <v>0</v>
      </c>
      <c r="F4" s="2"/>
      <c r="G4" s="2"/>
      <c r="H4" s="2"/>
    </row>
    <row r="5" spans="1:8" ht="17.399999999999999" thickTop="1" thickBot="1" x14ac:dyDescent="0.35">
      <c r="A5" s="83"/>
      <c r="B5" s="83" t="s">
        <v>8</v>
      </c>
      <c r="C5" s="11"/>
      <c r="D5" s="101"/>
      <c r="E5" s="89"/>
      <c r="F5" s="2"/>
      <c r="G5" s="2"/>
      <c r="H5" s="2"/>
    </row>
    <row r="6" spans="1:8" ht="15" thickTop="1" x14ac:dyDescent="0.3"/>
    <row r="8" spans="1:8" x14ac:dyDescent="0.3">
      <c r="D8" s="1"/>
      <c r="E8"/>
    </row>
    <row r="9" spans="1:8" x14ac:dyDescent="0.3">
      <c r="B9" s="3"/>
      <c r="C9" s="5"/>
      <c r="D9" s="5"/>
      <c r="E9" s="3"/>
      <c r="F9" s="3"/>
      <c r="G9" s="3"/>
    </row>
    <row r="10" spans="1:8" x14ac:dyDescent="0.3">
      <c r="C10" s="6"/>
    </row>
    <row r="11" spans="1:8" x14ac:dyDescent="0.3">
      <c r="C11" s="6"/>
    </row>
  </sheetData>
  <mergeCells count="1">
    <mergeCell ref="D3:D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3"/>
  <sheetViews>
    <sheetView workbookViewId="0">
      <selection activeCell="D13" sqref="D13"/>
    </sheetView>
  </sheetViews>
  <sheetFormatPr defaultRowHeight="14.4" x14ac:dyDescent="0.3"/>
  <cols>
    <col min="1" max="1" width="3.44140625" customWidth="1"/>
    <col min="2" max="2" width="22.5546875" customWidth="1"/>
    <col min="3" max="3" width="30.33203125" style="1" customWidth="1"/>
    <col min="4" max="4" width="20.88671875" customWidth="1"/>
    <col min="5" max="5" width="8.88671875" style="1" customWidth="1"/>
    <col min="6" max="6" width="4.6640625" customWidth="1"/>
    <col min="8" max="8" width="10.88671875" bestFit="1" customWidth="1"/>
  </cols>
  <sheetData>
    <row r="1" spans="1:8" ht="15.6" x14ac:dyDescent="0.3">
      <c r="A1" s="7"/>
      <c r="B1" s="8" t="s">
        <v>0</v>
      </c>
      <c r="C1" s="9" t="s">
        <v>71</v>
      </c>
      <c r="D1" s="8" t="s">
        <v>2</v>
      </c>
      <c r="E1" s="10">
        <f>IF(ISBLANK(C3),E4,E3)</f>
        <v>0</v>
      </c>
      <c r="H1" s="2"/>
    </row>
    <row r="2" spans="1:8" ht="15" thickBot="1" x14ac:dyDescent="0.35">
      <c r="A2" s="7"/>
      <c r="B2" s="7" t="s">
        <v>3</v>
      </c>
      <c r="C2" s="9">
        <f>VLOOKUP(C1,Table18[],2,0)</f>
        <v>181.97</v>
      </c>
      <c r="D2" s="7"/>
      <c r="E2" s="7"/>
    </row>
    <row r="3" spans="1:8" ht="16.8" thickTop="1" thickBot="1" x14ac:dyDescent="0.35">
      <c r="A3" s="7"/>
      <c r="B3" s="7" t="s">
        <v>4</v>
      </c>
      <c r="C3" s="11"/>
      <c r="D3" s="98" t="s">
        <v>5</v>
      </c>
      <c r="E3" s="12">
        <f>C2*C3*(C5/1000)</f>
        <v>0</v>
      </c>
      <c r="F3" s="2"/>
      <c r="G3" s="2"/>
      <c r="H3" s="2"/>
    </row>
    <row r="4" spans="1:8" ht="16.8" thickTop="1" thickBot="1" x14ac:dyDescent="0.35">
      <c r="A4" s="13" t="s">
        <v>6</v>
      </c>
      <c r="B4" s="7" t="s">
        <v>7</v>
      </c>
      <c r="C4" s="11"/>
      <c r="D4" s="98"/>
      <c r="E4" s="12">
        <f>(C5/100)*C4</f>
        <v>0</v>
      </c>
      <c r="F4" s="2"/>
      <c r="G4" s="2"/>
      <c r="H4" s="2"/>
    </row>
    <row r="5" spans="1:8" ht="17.399999999999999" thickTop="1" thickBot="1" x14ac:dyDescent="0.35">
      <c r="A5" s="7"/>
      <c r="B5" s="7" t="s">
        <v>8</v>
      </c>
      <c r="C5" s="11"/>
      <c r="D5" s="98"/>
      <c r="E5" s="14"/>
      <c r="F5" s="2"/>
      <c r="G5" s="2"/>
      <c r="H5" s="2"/>
    </row>
    <row r="6" spans="1:8" ht="15" thickTop="1" x14ac:dyDescent="0.3">
      <c r="A6" s="64"/>
      <c r="B6" s="65" t="s">
        <v>314</v>
      </c>
      <c r="C6" s="66"/>
      <c r="D6" s="64"/>
      <c r="E6" s="66"/>
    </row>
    <row r="9" spans="1:8" x14ac:dyDescent="0.3">
      <c r="B9" t="s">
        <v>9</v>
      </c>
      <c r="C9" s="1" t="s">
        <v>10</v>
      </c>
      <c r="E9"/>
    </row>
    <row r="10" spans="1:8" x14ac:dyDescent="0.3">
      <c r="B10" s="52" t="s">
        <v>72</v>
      </c>
      <c r="C10" s="51">
        <v>194.19</v>
      </c>
      <c r="E10"/>
    </row>
    <row r="11" spans="1:8" x14ac:dyDescent="0.3">
      <c r="B11" s="3" t="s">
        <v>71</v>
      </c>
      <c r="C11" s="5">
        <v>181.97</v>
      </c>
      <c r="D11" s="3"/>
      <c r="E11" s="3"/>
      <c r="F11" s="3"/>
    </row>
    <row r="12" spans="1:8" x14ac:dyDescent="0.3">
      <c r="C12" s="6"/>
    </row>
    <row r="13" spans="1:8" x14ac:dyDescent="0.3">
      <c r="C13" s="6"/>
    </row>
  </sheetData>
  <mergeCells count="1">
    <mergeCell ref="D3:D5"/>
  </mergeCells>
  <dataValidations count="1">
    <dataValidation type="list" allowBlank="1" showInputMessage="1" showErrorMessage="1" sqref="C1" xr:uid="{00000000-0002-0000-0900-000000000000}">
      <formula1>$B$10:$B$11</formula1>
    </dataValidation>
  </dataValidations>
  <hyperlinks>
    <hyperlink ref="B6" location="'1'!A1" display="'1'!A1" xr:uid="{00000000-0004-0000-0900-000000000000}"/>
  </hyperlink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5"/>
  <sheetViews>
    <sheetView workbookViewId="0">
      <selection activeCell="A6" sqref="A6:E6"/>
    </sheetView>
  </sheetViews>
  <sheetFormatPr defaultRowHeight="14.4" x14ac:dyDescent="0.3"/>
  <cols>
    <col min="1" max="1" width="3.44140625" customWidth="1"/>
    <col min="2" max="2" width="22.5546875" customWidth="1"/>
    <col min="3" max="3" width="30.33203125" style="1" customWidth="1"/>
    <col min="4" max="4" width="20.88671875" customWidth="1"/>
    <col min="5" max="5" width="8.88671875" style="1" customWidth="1"/>
    <col min="6" max="6" width="4.6640625" customWidth="1"/>
    <col min="8" max="8" width="10.88671875" bestFit="1" customWidth="1"/>
  </cols>
  <sheetData>
    <row r="1" spans="1:8" ht="15.6" x14ac:dyDescent="0.3">
      <c r="A1" s="7"/>
      <c r="B1" s="8" t="s">
        <v>0</v>
      </c>
      <c r="C1" s="9" t="s">
        <v>73</v>
      </c>
      <c r="D1" s="8" t="s">
        <v>2</v>
      </c>
      <c r="E1" s="10">
        <f>IF(ISBLANK(C3),E4,E3)</f>
        <v>0</v>
      </c>
      <c r="H1" s="2"/>
    </row>
    <row r="2" spans="1:8" ht="15" thickBot="1" x14ac:dyDescent="0.35">
      <c r="A2" s="7"/>
      <c r="B2" s="7" t="s">
        <v>3</v>
      </c>
      <c r="C2" s="9">
        <f>VLOOKUP(C1,Table19[],2,0)</f>
        <v>283.22000000000003</v>
      </c>
      <c r="D2" s="7"/>
      <c r="E2" s="7"/>
    </row>
    <row r="3" spans="1:8" ht="16.8" thickTop="1" thickBot="1" x14ac:dyDescent="0.35">
      <c r="A3" s="7"/>
      <c r="B3" s="7" t="s">
        <v>4</v>
      </c>
      <c r="C3" s="11"/>
      <c r="D3" s="98" t="s">
        <v>5</v>
      </c>
      <c r="E3" s="12">
        <f>C2*C3*(C5/1000)</f>
        <v>0</v>
      </c>
      <c r="F3" s="2"/>
      <c r="G3" s="2"/>
      <c r="H3" s="2"/>
    </row>
    <row r="4" spans="1:8" ht="16.8" thickTop="1" thickBot="1" x14ac:dyDescent="0.35">
      <c r="A4" s="13" t="s">
        <v>6</v>
      </c>
      <c r="B4" s="7" t="s">
        <v>7</v>
      </c>
      <c r="C4" s="11"/>
      <c r="D4" s="98"/>
      <c r="E4" s="12">
        <f>(C5/100)*C4</f>
        <v>0</v>
      </c>
      <c r="F4" s="2"/>
      <c r="G4" s="2"/>
      <c r="H4" s="2"/>
    </row>
    <row r="5" spans="1:8" ht="17.399999999999999" thickTop="1" thickBot="1" x14ac:dyDescent="0.35">
      <c r="A5" s="7"/>
      <c r="B5" s="7" t="s">
        <v>8</v>
      </c>
      <c r="C5" s="11"/>
      <c r="D5" s="98"/>
      <c r="E5" s="14"/>
      <c r="F5" s="2"/>
      <c r="G5" s="2"/>
      <c r="H5" s="2"/>
    </row>
    <row r="6" spans="1:8" ht="15" thickTop="1" x14ac:dyDescent="0.3">
      <c r="A6" s="64"/>
      <c r="B6" s="65" t="s">
        <v>314</v>
      </c>
      <c r="C6" s="66"/>
      <c r="D6" s="64"/>
      <c r="E6" s="66"/>
    </row>
    <row r="9" spans="1:8" x14ac:dyDescent="0.3">
      <c r="B9" t="s">
        <v>9</v>
      </c>
      <c r="C9" s="1" t="s">
        <v>10</v>
      </c>
      <c r="E9"/>
    </row>
    <row r="10" spans="1:8" ht="28.8" x14ac:dyDescent="0.3">
      <c r="B10" s="52" t="s">
        <v>74</v>
      </c>
      <c r="C10" s="51">
        <v>266.48</v>
      </c>
      <c r="E10"/>
    </row>
    <row r="11" spans="1:8" ht="28.8" x14ac:dyDescent="0.3">
      <c r="B11" s="52" t="s">
        <v>75</v>
      </c>
      <c r="C11" s="51">
        <v>400.21</v>
      </c>
      <c r="E11"/>
    </row>
    <row r="12" spans="1:8" ht="28.8" x14ac:dyDescent="0.3">
      <c r="B12" s="52" t="s">
        <v>76</v>
      </c>
      <c r="C12" s="51">
        <v>606.36</v>
      </c>
      <c r="E12"/>
    </row>
    <row r="13" spans="1:8" ht="28.8" x14ac:dyDescent="0.3">
      <c r="B13" s="3" t="s">
        <v>73</v>
      </c>
      <c r="C13" s="5">
        <v>283.22000000000003</v>
      </c>
      <c r="D13" s="3"/>
      <c r="E13" s="3"/>
      <c r="F13" s="3"/>
    </row>
    <row r="14" spans="1:8" x14ac:dyDescent="0.3">
      <c r="B14" s="3"/>
      <c r="C14" s="5"/>
      <c r="D14" s="3"/>
      <c r="E14" s="3"/>
      <c r="F14" s="3"/>
    </row>
    <row r="15" spans="1:8" x14ac:dyDescent="0.3">
      <c r="C15" s="6"/>
    </row>
  </sheetData>
  <mergeCells count="1">
    <mergeCell ref="D3:D5"/>
  </mergeCells>
  <dataValidations count="1">
    <dataValidation type="list" allowBlank="1" showInputMessage="1" showErrorMessage="1" sqref="C1" xr:uid="{00000000-0002-0000-0A00-000000000000}">
      <formula1>$B$10:$B$13</formula1>
    </dataValidation>
  </dataValidations>
  <hyperlinks>
    <hyperlink ref="B6" location="'1'!A1" display="'1'!A1" xr:uid="{00000000-0004-0000-0A00-000000000000}"/>
  </hyperlinks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6"/>
  <sheetViews>
    <sheetView workbookViewId="0">
      <selection activeCell="A6" sqref="A6:E6"/>
    </sheetView>
  </sheetViews>
  <sheetFormatPr defaultRowHeight="14.4" x14ac:dyDescent="0.3"/>
  <cols>
    <col min="1" max="1" width="3.44140625" customWidth="1"/>
    <col min="2" max="2" width="22.5546875" customWidth="1"/>
    <col min="3" max="3" width="30.33203125" style="1" customWidth="1"/>
    <col min="4" max="4" width="20.88671875" customWidth="1"/>
    <col min="5" max="5" width="8.88671875" style="1" customWidth="1"/>
    <col min="6" max="6" width="4.6640625" customWidth="1"/>
    <col min="8" max="8" width="10.88671875" bestFit="1" customWidth="1"/>
  </cols>
  <sheetData>
    <row r="1" spans="1:8" ht="15.6" x14ac:dyDescent="0.3">
      <c r="A1" s="7"/>
      <c r="B1" s="8" t="s">
        <v>0</v>
      </c>
      <c r="C1" s="9" t="s">
        <v>77</v>
      </c>
      <c r="D1" s="8" t="s">
        <v>2</v>
      </c>
      <c r="E1" s="10">
        <f>IF(ISBLANK(C3),E4,E3)</f>
        <v>0</v>
      </c>
      <c r="H1" s="2"/>
    </row>
    <row r="2" spans="1:8" ht="15" thickBot="1" x14ac:dyDescent="0.35">
      <c r="A2" s="7"/>
      <c r="B2" s="7" t="s">
        <v>3</v>
      </c>
      <c r="C2" s="9">
        <f>VLOOKUP(C1,Table110[],2,0)</f>
        <v>174.88</v>
      </c>
      <c r="D2" s="7"/>
      <c r="E2" s="7"/>
    </row>
    <row r="3" spans="1:8" ht="16.8" thickTop="1" thickBot="1" x14ac:dyDescent="0.35">
      <c r="A3" s="7"/>
      <c r="B3" s="7" t="s">
        <v>4</v>
      </c>
      <c r="C3" s="11"/>
      <c r="D3" s="98" t="s">
        <v>5</v>
      </c>
      <c r="E3" s="12">
        <f>C2*C3*(C5/1000)</f>
        <v>0</v>
      </c>
      <c r="F3" s="2"/>
      <c r="G3" s="2"/>
      <c r="H3" s="2"/>
    </row>
    <row r="4" spans="1:8" ht="16.8" thickTop="1" thickBot="1" x14ac:dyDescent="0.35">
      <c r="A4" s="13" t="s">
        <v>6</v>
      </c>
      <c r="B4" s="7" t="s">
        <v>7</v>
      </c>
      <c r="C4" s="11"/>
      <c r="D4" s="98"/>
      <c r="E4" s="12">
        <f>(C5/100)*C4</f>
        <v>0</v>
      </c>
      <c r="F4" s="2"/>
      <c r="G4" s="2"/>
      <c r="H4" s="2"/>
    </row>
    <row r="5" spans="1:8" ht="17.399999999999999" thickTop="1" thickBot="1" x14ac:dyDescent="0.35">
      <c r="A5" s="7"/>
      <c r="B5" s="7" t="s">
        <v>8</v>
      </c>
      <c r="C5" s="11"/>
      <c r="D5" s="98"/>
      <c r="E5" s="14"/>
      <c r="F5" s="2"/>
      <c r="G5" s="2"/>
      <c r="H5" s="2"/>
    </row>
    <row r="6" spans="1:8" ht="15" thickTop="1" x14ac:dyDescent="0.3">
      <c r="A6" s="64"/>
      <c r="B6" s="65" t="s">
        <v>314</v>
      </c>
      <c r="C6" s="66"/>
      <c r="D6" s="64"/>
      <c r="E6" s="66"/>
    </row>
    <row r="9" spans="1:8" x14ac:dyDescent="0.3">
      <c r="B9" t="s">
        <v>9</v>
      </c>
      <c r="C9" s="1" t="s">
        <v>10</v>
      </c>
      <c r="E9"/>
    </row>
    <row r="10" spans="1:8" ht="15.6" x14ac:dyDescent="0.35">
      <c r="B10" s="3" t="s">
        <v>78</v>
      </c>
      <c r="C10" s="51">
        <v>237.93</v>
      </c>
      <c r="E10"/>
    </row>
    <row r="11" spans="1:8" ht="17.25" customHeight="1" x14ac:dyDescent="0.3">
      <c r="B11" s="52" t="s">
        <v>79</v>
      </c>
      <c r="C11" s="51">
        <v>249.08</v>
      </c>
      <c r="E11"/>
    </row>
    <row r="12" spans="1:8" x14ac:dyDescent="0.3">
      <c r="B12" s="52" t="s">
        <v>80</v>
      </c>
      <c r="C12" s="51">
        <v>291.02999999999997</v>
      </c>
      <c r="E12"/>
    </row>
    <row r="13" spans="1:8" x14ac:dyDescent="0.3">
      <c r="B13" s="3" t="s">
        <v>81</v>
      </c>
      <c r="C13" s="5">
        <v>281.10000000000002</v>
      </c>
      <c r="E13"/>
    </row>
    <row r="14" spans="1:8" x14ac:dyDescent="0.3">
      <c r="B14" s="3" t="s">
        <v>77</v>
      </c>
      <c r="C14" s="51">
        <v>174.88</v>
      </c>
      <c r="D14" s="3"/>
      <c r="E14" s="3"/>
      <c r="F14" s="3"/>
    </row>
    <row r="15" spans="1:8" x14ac:dyDescent="0.3">
      <c r="B15" s="3"/>
      <c r="C15" s="5"/>
      <c r="D15" s="3"/>
      <c r="E15" s="3"/>
      <c r="F15" s="3"/>
    </row>
    <row r="16" spans="1:8" x14ac:dyDescent="0.3">
      <c r="C16" s="6"/>
    </row>
  </sheetData>
  <mergeCells count="1">
    <mergeCell ref="D3:D5"/>
  </mergeCells>
  <dataValidations count="1">
    <dataValidation type="list" allowBlank="1" showInputMessage="1" showErrorMessage="1" sqref="C1" xr:uid="{00000000-0002-0000-0B00-000000000000}">
      <formula1>$B$10:$B$14</formula1>
    </dataValidation>
  </dataValidations>
  <hyperlinks>
    <hyperlink ref="B6" location="'1'!A1" display="'1'!A1" xr:uid="{00000000-0004-0000-0B00-000000000000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6"/>
  <sheetViews>
    <sheetView workbookViewId="0">
      <selection activeCell="A6" sqref="A6:E6"/>
    </sheetView>
  </sheetViews>
  <sheetFormatPr defaultRowHeight="14.4" x14ac:dyDescent="0.3"/>
  <cols>
    <col min="1" max="1" width="3.44140625" customWidth="1"/>
    <col min="2" max="2" width="22.5546875" customWidth="1"/>
    <col min="3" max="3" width="30.33203125" style="1" customWidth="1"/>
    <col min="4" max="4" width="20.88671875" customWidth="1"/>
    <col min="5" max="5" width="8.88671875" style="1" customWidth="1"/>
    <col min="6" max="6" width="4.6640625" customWidth="1"/>
    <col min="8" max="8" width="10.88671875" bestFit="1" customWidth="1"/>
  </cols>
  <sheetData>
    <row r="1" spans="1:8" ht="15.6" x14ac:dyDescent="0.3">
      <c r="A1" s="7"/>
      <c r="B1" s="8" t="s">
        <v>0</v>
      </c>
      <c r="C1" s="9" t="s">
        <v>82</v>
      </c>
      <c r="D1" s="8" t="s">
        <v>2</v>
      </c>
      <c r="E1" s="10">
        <f>IF(ISBLANK(C3),E4,E3)</f>
        <v>0</v>
      </c>
      <c r="H1" s="2"/>
    </row>
    <row r="2" spans="1:8" ht="15" thickBot="1" x14ac:dyDescent="0.35">
      <c r="A2" s="7"/>
      <c r="B2" s="7" t="s">
        <v>3</v>
      </c>
      <c r="C2" s="9">
        <f>VLOOKUP(C1,Table111[],2,0)</f>
        <v>170.48</v>
      </c>
      <c r="D2" s="7"/>
      <c r="E2" s="7"/>
    </row>
    <row r="3" spans="1:8" ht="16.8" thickTop="1" thickBot="1" x14ac:dyDescent="0.35">
      <c r="A3" s="7"/>
      <c r="B3" s="7" t="s">
        <v>4</v>
      </c>
      <c r="C3" s="11"/>
      <c r="D3" s="98" t="s">
        <v>5</v>
      </c>
      <c r="E3" s="12">
        <f>C2*C3*(C5/1000)</f>
        <v>0</v>
      </c>
      <c r="F3" s="2"/>
      <c r="G3" s="2"/>
      <c r="H3" s="2"/>
    </row>
    <row r="4" spans="1:8" ht="16.8" thickTop="1" thickBot="1" x14ac:dyDescent="0.35">
      <c r="A4" s="13" t="s">
        <v>6</v>
      </c>
      <c r="B4" s="7" t="s">
        <v>7</v>
      </c>
      <c r="C4" s="11"/>
      <c r="D4" s="98"/>
      <c r="E4" s="12">
        <f>(C5/100)*C4</f>
        <v>0</v>
      </c>
      <c r="F4" s="2"/>
      <c r="G4" s="2"/>
      <c r="H4" s="2"/>
    </row>
    <row r="5" spans="1:8" ht="17.399999999999999" thickTop="1" thickBot="1" x14ac:dyDescent="0.35">
      <c r="A5" s="7"/>
      <c r="B5" s="7" t="s">
        <v>8</v>
      </c>
      <c r="C5" s="11"/>
      <c r="D5" s="98"/>
      <c r="E5" s="14"/>
      <c r="F5" s="2"/>
      <c r="G5" s="2"/>
      <c r="H5" s="2"/>
    </row>
    <row r="6" spans="1:8" ht="15" thickTop="1" x14ac:dyDescent="0.3">
      <c r="A6" s="64"/>
      <c r="B6" s="65" t="s">
        <v>314</v>
      </c>
      <c r="C6" s="66"/>
      <c r="D6" s="64"/>
      <c r="E6" s="66"/>
    </row>
    <row r="9" spans="1:8" x14ac:dyDescent="0.3">
      <c r="B9" t="s">
        <v>9</v>
      </c>
      <c r="C9" s="1" t="s">
        <v>10</v>
      </c>
      <c r="E9"/>
    </row>
    <row r="10" spans="1:8" x14ac:dyDescent="0.3">
      <c r="B10" s="3" t="s">
        <v>83</v>
      </c>
      <c r="C10" s="51">
        <v>233.37</v>
      </c>
      <c r="E10"/>
    </row>
    <row r="11" spans="1:8" ht="17.25" customHeight="1" x14ac:dyDescent="0.3">
      <c r="B11" s="53" t="s">
        <v>82</v>
      </c>
      <c r="C11" s="51">
        <v>170.48</v>
      </c>
      <c r="E11"/>
    </row>
    <row r="12" spans="1:8" x14ac:dyDescent="0.3">
      <c r="B12" s="53" t="s">
        <v>84</v>
      </c>
      <c r="C12" s="51">
        <v>199.65</v>
      </c>
      <c r="E12"/>
    </row>
    <row r="13" spans="1:8" x14ac:dyDescent="0.3">
      <c r="B13" s="3" t="s">
        <v>85</v>
      </c>
      <c r="C13" s="5">
        <v>241.6</v>
      </c>
      <c r="E13"/>
    </row>
    <row r="14" spans="1:8" x14ac:dyDescent="0.3">
      <c r="B14" s="53" t="s">
        <v>86</v>
      </c>
      <c r="C14" s="51">
        <v>249.7</v>
      </c>
      <c r="D14" s="3"/>
      <c r="E14" s="3"/>
      <c r="F14" s="3"/>
    </row>
    <row r="15" spans="1:8" x14ac:dyDescent="0.3">
      <c r="B15" s="3"/>
      <c r="C15" s="5"/>
      <c r="D15" s="3"/>
      <c r="E15" s="3"/>
      <c r="F15" s="3"/>
    </row>
    <row r="16" spans="1:8" x14ac:dyDescent="0.3">
      <c r="C16" s="6"/>
    </row>
  </sheetData>
  <mergeCells count="1">
    <mergeCell ref="D3:D5"/>
  </mergeCells>
  <dataValidations count="1">
    <dataValidation type="list" allowBlank="1" showInputMessage="1" showErrorMessage="1" sqref="C1" xr:uid="{00000000-0002-0000-0C00-000000000000}">
      <formula1>$B$10:$B$14</formula1>
    </dataValidation>
  </dataValidations>
  <hyperlinks>
    <hyperlink ref="B6" location="'1'!A1" display="'1'!A1" xr:uid="{00000000-0004-0000-0C00-000000000000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3"/>
  <sheetViews>
    <sheetView workbookViewId="0">
      <selection activeCell="A6" sqref="A6:E6"/>
    </sheetView>
  </sheetViews>
  <sheetFormatPr defaultRowHeight="14.4" x14ac:dyDescent="0.3"/>
  <cols>
    <col min="1" max="1" width="3.44140625" customWidth="1"/>
    <col min="2" max="2" width="22.5546875" customWidth="1"/>
    <col min="3" max="3" width="30.33203125" style="1" customWidth="1"/>
    <col min="4" max="4" width="20.88671875" customWidth="1"/>
    <col min="5" max="5" width="8.88671875" style="1" customWidth="1"/>
    <col min="6" max="6" width="4.6640625" customWidth="1"/>
    <col min="8" max="8" width="10.88671875" bestFit="1" customWidth="1"/>
  </cols>
  <sheetData>
    <row r="1" spans="1:8" ht="15.6" x14ac:dyDescent="0.3">
      <c r="A1" s="7"/>
      <c r="B1" s="8" t="s">
        <v>0</v>
      </c>
      <c r="C1" s="9" t="s">
        <v>87</v>
      </c>
      <c r="D1" s="8" t="s">
        <v>2</v>
      </c>
      <c r="E1" s="10">
        <f>IF(ISBLANK(C3),E4,E3)</f>
        <v>0</v>
      </c>
      <c r="H1" s="2"/>
    </row>
    <row r="2" spans="1:8" ht="15" thickBot="1" x14ac:dyDescent="0.35">
      <c r="A2" s="7"/>
      <c r="B2" s="7" t="s">
        <v>3</v>
      </c>
      <c r="C2" s="9">
        <f>VLOOKUP(C1,Table112[],2,0)</f>
        <v>49.01</v>
      </c>
      <c r="D2" s="7"/>
      <c r="E2" s="7"/>
    </row>
    <row r="3" spans="1:8" ht="16.8" thickTop="1" thickBot="1" x14ac:dyDescent="0.35">
      <c r="A3" s="7"/>
      <c r="B3" s="7" t="s">
        <v>4</v>
      </c>
      <c r="C3" s="11"/>
      <c r="D3" s="98" t="s">
        <v>5</v>
      </c>
      <c r="E3" s="12">
        <f>C2*C3*(C5/1000)</f>
        <v>0</v>
      </c>
      <c r="F3" s="2"/>
      <c r="G3" s="2"/>
      <c r="H3" s="2"/>
    </row>
    <row r="4" spans="1:8" ht="16.8" thickTop="1" thickBot="1" x14ac:dyDescent="0.35">
      <c r="A4" s="13" t="s">
        <v>6</v>
      </c>
      <c r="B4" s="7" t="s">
        <v>7</v>
      </c>
      <c r="C4" s="11"/>
      <c r="D4" s="98"/>
      <c r="E4" s="12">
        <f>(C5/100)*C4</f>
        <v>0</v>
      </c>
      <c r="F4" s="2"/>
      <c r="G4" s="2"/>
      <c r="H4" s="2"/>
    </row>
    <row r="5" spans="1:8" ht="17.399999999999999" thickTop="1" thickBot="1" x14ac:dyDescent="0.35">
      <c r="A5" s="7"/>
      <c r="B5" s="7" t="s">
        <v>8</v>
      </c>
      <c r="C5" s="11"/>
      <c r="D5" s="98"/>
      <c r="E5" s="14"/>
      <c r="F5" s="2"/>
      <c r="G5" s="2"/>
      <c r="H5" s="2"/>
    </row>
    <row r="6" spans="1:8" ht="15" thickTop="1" x14ac:dyDescent="0.3">
      <c r="A6" s="64"/>
      <c r="B6" s="65" t="s">
        <v>314</v>
      </c>
      <c r="C6" s="66"/>
      <c r="D6" s="64"/>
      <c r="E6" s="66"/>
    </row>
    <row r="9" spans="1:8" x14ac:dyDescent="0.3">
      <c r="B9" t="s">
        <v>9</v>
      </c>
      <c r="C9" s="1" t="s">
        <v>10</v>
      </c>
      <c r="E9"/>
    </row>
    <row r="10" spans="1:8" x14ac:dyDescent="0.3">
      <c r="B10" s="3" t="s">
        <v>88</v>
      </c>
      <c r="C10" s="51">
        <v>65.12</v>
      </c>
      <c r="E10"/>
    </row>
    <row r="11" spans="1:8" ht="17.25" customHeight="1" x14ac:dyDescent="0.3">
      <c r="B11" s="53" t="s">
        <v>87</v>
      </c>
      <c r="C11" s="51">
        <v>49.01</v>
      </c>
      <c r="E11"/>
    </row>
    <row r="12" spans="1:8" x14ac:dyDescent="0.3">
      <c r="B12" s="3"/>
      <c r="C12" s="5"/>
      <c r="D12" s="3"/>
      <c r="E12" s="3"/>
      <c r="F12" s="3"/>
    </row>
    <row r="13" spans="1:8" x14ac:dyDescent="0.3">
      <c r="C13" s="6"/>
    </row>
  </sheetData>
  <mergeCells count="1">
    <mergeCell ref="D3:D5"/>
  </mergeCells>
  <dataValidations count="1">
    <dataValidation type="list" allowBlank="1" showInputMessage="1" showErrorMessage="1" sqref="C1" xr:uid="{00000000-0002-0000-0D00-000000000000}">
      <formula1>$B$10:$B$11</formula1>
    </dataValidation>
  </dataValidations>
  <hyperlinks>
    <hyperlink ref="B6" location="'1'!A1" display="'1'!A1" xr:uid="{00000000-0004-0000-0D00-000000000000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3"/>
  <sheetViews>
    <sheetView workbookViewId="0">
      <selection activeCell="A6" sqref="A6:E6"/>
    </sheetView>
  </sheetViews>
  <sheetFormatPr defaultRowHeight="14.4" x14ac:dyDescent="0.3"/>
  <cols>
    <col min="1" max="1" width="3.44140625" customWidth="1"/>
    <col min="2" max="2" width="22.5546875" customWidth="1"/>
    <col min="3" max="3" width="30.33203125" style="1" customWidth="1"/>
    <col min="4" max="4" width="20.88671875" customWidth="1"/>
    <col min="5" max="5" width="8.88671875" style="1" customWidth="1"/>
    <col min="6" max="6" width="4.6640625" customWidth="1"/>
    <col min="8" max="8" width="10.88671875" bestFit="1" customWidth="1"/>
  </cols>
  <sheetData>
    <row r="1" spans="1:8" ht="15.6" x14ac:dyDescent="0.3">
      <c r="A1" s="32"/>
      <c r="B1" s="33" t="s">
        <v>0</v>
      </c>
      <c r="C1" s="34" t="s">
        <v>89</v>
      </c>
      <c r="D1" s="33" t="s">
        <v>2</v>
      </c>
      <c r="E1" s="35">
        <f>IF(ISBLANK(C3),E4,E3)</f>
        <v>0</v>
      </c>
      <c r="H1" s="2"/>
    </row>
    <row r="2" spans="1:8" ht="15" thickBot="1" x14ac:dyDescent="0.35">
      <c r="A2" s="32"/>
      <c r="B2" s="32" t="s">
        <v>3</v>
      </c>
      <c r="C2" s="34">
        <f>VLOOKUP(C1,Table113[],2,0)</f>
        <v>294.2</v>
      </c>
      <c r="D2" s="32"/>
      <c r="E2" s="32"/>
    </row>
    <row r="3" spans="1:8" ht="16.8" thickTop="1" thickBot="1" x14ac:dyDescent="0.35">
      <c r="A3" s="32"/>
      <c r="B3" s="32" t="s">
        <v>4</v>
      </c>
      <c r="C3" s="36"/>
      <c r="D3" s="102" t="s">
        <v>47</v>
      </c>
      <c r="E3" s="38">
        <f>C2*C3*(C5/1000)</f>
        <v>0</v>
      </c>
      <c r="F3" s="2"/>
      <c r="G3" s="2"/>
      <c r="H3" s="2"/>
    </row>
    <row r="4" spans="1:8" ht="16.8" thickTop="1" thickBot="1" x14ac:dyDescent="0.35">
      <c r="A4" s="39" t="s">
        <v>6</v>
      </c>
      <c r="B4" s="32" t="s">
        <v>7</v>
      </c>
      <c r="C4" s="36"/>
      <c r="D4" s="102"/>
      <c r="E4" s="38">
        <f>(C5/100)*C4</f>
        <v>0</v>
      </c>
      <c r="F4" s="2"/>
      <c r="G4" s="2"/>
      <c r="H4" s="2"/>
    </row>
    <row r="5" spans="1:8" ht="17.399999999999999" thickTop="1" thickBot="1" x14ac:dyDescent="0.35">
      <c r="A5" s="32"/>
      <c r="B5" s="32" t="s">
        <v>48</v>
      </c>
      <c r="C5" s="36"/>
      <c r="D5" s="102"/>
      <c r="E5" s="40"/>
      <c r="F5" s="2"/>
      <c r="G5" s="2"/>
      <c r="H5" s="2"/>
    </row>
    <row r="6" spans="1:8" ht="15" thickTop="1" x14ac:dyDescent="0.3">
      <c r="A6" s="64"/>
      <c r="B6" s="65" t="s">
        <v>314</v>
      </c>
      <c r="C6" s="66"/>
      <c r="D6" s="64"/>
      <c r="E6" s="66"/>
    </row>
    <row r="9" spans="1:8" x14ac:dyDescent="0.3">
      <c r="B9" t="s">
        <v>9</v>
      </c>
      <c r="C9" s="1" t="s">
        <v>10</v>
      </c>
      <c r="E9"/>
    </row>
    <row r="10" spans="1:8" x14ac:dyDescent="0.3">
      <c r="B10" s="3" t="s">
        <v>89</v>
      </c>
      <c r="C10" s="51">
        <v>294.2</v>
      </c>
      <c r="E10"/>
    </row>
    <row r="11" spans="1:8" x14ac:dyDescent="0.3">
      <c r="B11" s="3" t="s">
        <v>90</v>
      </c>
      <c r="C11" s="5">
        <v>298</v>
      </c>
      <c r="D11" s="3"/>
      <c r="E11" s="3"/>
      <c r="F11" s="3"/>
    </row>
    <row r="12" spans="1:8" x14ac:dyDescent="0.3">
      <c r="C12" s="6"/>
    </row>
    <row r="13" spans="1:8" x14ac:dyDescent="0.3">
      <c r="C13" s="6"/>
    </row>
  </sheetData>
  <mergeCells count="1">
    <mergeCell ref="D3:D5"/>
  </mergeCells>
  <dataValidations count="1">
    <dataValidation type="list" allowBlank="1" showInputMessage="1" showErrorMessage="1" sqref="C1" xr:uid="{00000000-0002-0000-0E00-000000000000}">
      <formula1>$B$10:$B$11</formula1>
    </dataValidation>
  </dataValidations>
  <hyperlinks>
    <hyperlink ref="B6" location="'1'!A1" display="'1'!A1" xr:uid="{00000000-0004-0000-0E00-000000000000}"/>
  </hyperlinks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16"/>
  <sheetViews>
    <sheetView workbookViewId="0">
      <selection activeCell="A6" sqref="A6:E6"/>
    </sheetView>
  </sheetViews>
  <sheetFormatPr defaultRowHeight="14.4" x14ac:dyDescent="0.3"/>
  <cols>
    <col min="1" max="1" width="3.44140625" customWidth="1"/>
    <col min="2" max="2" width="22.5546875" customWidth="1"/>
    <col min="3" max="3" width="30.33203125" style="1" customWidth="1"/>
    <col min="4" max="4" width="20.88671875" customWidth="1"/>
    <col min="5" max="5" width="8.88671875" style="1" customWidth="1"/>
    <col min="6" max="6" width="4.6640625" customWidth="1"/>
    <col min="8" max="8" width="10.88671875" bestFit="1" customWidth="1"/>
  </cols>
  <sheetData>
    <row r="1" spans="1:8" ht="15.6" x14ac:dyDescent="0.3">
      <c r="A1" s="32"/>
      <c r="B1" s="33" t="s">
        <v>0</v>
      </c>
      <c r="C1" s="34" t="s">
        <v>91</v>
      </c>
      <c r="D1" s="33" t="s">
        <v>2</v>
      </c>
      <c r="E1" s="35">
        <f>IF(ISBLANK(C3),E4,E3)</f>
        <v>0</v>
      </c>
      <c r="H1" s="2"/>
    </row>
    <row r="2" spans="1:8" ht="15" thickBot="1" x14ac:dyDescent="0.35">
      <c r="A2" s="32"/>
      <c r="B2" s="32" t="s">
        <v>3</v>
      </c>
      <c r="C2" s="34">
        <f>VLOOKUP(C1,Table114[],2,0)</f>
        <v>90</v>
      </c>
      <c r="D2" s="32"/>
      <c r="E2" s="32"/>
    </row>
    <row r="3" spans="1:8" ht="16.8" thickTop="1" thickBot="1" x14ac:dyDescent="0.35">
      <c r="A3" s="32"/>
      <c r="B3" s="32" t="s">
        <v>4</v>
      </c>
      <c r="C3" s="36"/>
      <c r="D3" s="102" t="s">
        <v>47</v>
      </c>
      <c r="E3" s="38">
        <f>C2*C3*(C5/1000)</f>
        <v>0</v>
      </c>
      <c r="F3" s="2"/>
      <c r="G3" s="2"/>
      <c r="H3" s="2"/>
    </row>
    <row r="4" spans="1:8" ht="16.8" thickTop="1" thickBot="1" x14ac:dyDescent="0.35">
      <c r="A4" s="39" t="s">
        <v>6</v>
      </c>
      <c r="B4" s="32" t="s">
        <v>7</v>
      </c>
      <c r="C4" s="36"/>
      <c r="D4" s="102"/>
      <c r="E4" s="38">
        <f>(C5/100)*C4</f>
        <v>0</v>
      </c>
      <c r="F4" s="2"/>
      <c r="G4" s="2"/>
      <c r="H4" s="2"/>
    </row>
    <row r="5" spans="1:8" ht="17.399999999999999" thickTop="1" thickBot="1" x14ac:dyDescent="0.35">
      <c r="A5" s="32"/>
      <c r="B5" s="32" t="s">
        <v>48</v>
      </c>
      <c r="C5" s="36"/>
      <c r="D5" s="102"/>
      <c r="E5" s="40"/>
      <c r="F5" s="2"/>
      <c r="G5" s="2"/>
      <c r="H5" s="2"/>
    </row>
    <row r="6" spans="1:8" ht="15" thickTop="1" x14ac:dyDescent="0.3">
      <c r="A6" s="64"/>
      <c r="B6" s="65" t="s">
        <v>314</v>
      </c>
      <c r="C6" s="66"/>
      <c r="D6" s="64"/>
      <c r="E6" s="66"/>
    </row>
    <row r="9" spans="1:8" x14ac:dyDescent="0.3">
      <c r="B9" t="s">
        <v>9</v>
      </c>
      <c r="C9" s="1" t="s">
        <v>10</v>
      </c>
      <c r="E9"/>
    </row>
    <row r="10" spans="1:8" x14ac:dyDescent="0.3">
      <c r="B10" s="3" t="s">
        <v>91</v>
      </c>
      <c r="C10" s="51">
        <v>90</v>
      </c>
      <c r="E10"/>
    </row>
    <row r="11" spans="1:8" ht="17.25" customHeight="1" x14ac:dyDescent="0.3">
      <c r="B11" s="3" t="s">
        <v>92</v>
      </c>
      <c r="C11" s="51">
        <v>126.1</v>
      </c>
      <c r="E11"/>
    </row>
    <row r="12" spans="1:8" x14ac:dyDescent="0.3">
      <c r="B12" s="53" t="s">
        <v>93</v>
      </c>
      <c r="C12" s="51">
        <v>124.1</v>
      </c>
      <c r="E12"/>
    </row>
    <row r="13" spans="1:8" x14ac:dyDescent="0.3">
      <c r="B13" s="53" t="s">
        <v>94</v>
      </c>
      <c r="C13" s="5">
        <v>184.2</v>
      </c>
      <c r="E13"/>
    </row>
    <row r="14" spans="1:8" x14ac:dyDescent="0.3">
      <c r="B14" s="53" t="s">
        <v>95</v>
      </c>
      <c r="C14" s="51">
        <v>138</v>
      </c>
      <c r="D14" s="3"/>
      <c r="E14" s="3"/>
      <c r="F14" s="3"/>
    </row>
    <row r="15" spans="1:8" x14ac:dyDescent="0.3">
      <c r="B15" s="3"/>
      <c r="C15" s="5"/>
      <c r="D15" s="3"/>
      <c r="E15" s="3"/>
      <c r="F15" s="3"/>
    </row>
    <row r="16" spans="1:8" x14ac:dyDescent="0.3">
      <c r="C16" s="6"/>
    </row>
  </sheetData>
  <mergeCells count="1">
    <mergeCell ref="D3:D5"/>
  </mergeCells>
  <dataValidations count="1">
    <dataValidation type="list" allowBlank="1" showInputMessage="1" showErrorMessage="1" sqref="C1" xr:uid="{00000000-0002-0000-0F00-000000000000}">
      <formula1>$B$10:$B$14</formula1>
    </dataValidation>
  </dataValidations>
  <hyperlinks>
    <hyperlink ref="B6" location="'1'!A1" display="'1'!A1" xr:uid="{00000000-0004-0000-0F00-000000000000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0"/>
  <sheetViews>
    <sheetView workbookViewId="0">
      <selection activeCell="A6" sqref="A6:E6"/>
    </sheetView>
  </sheetViews>
  <sheetFormatPr defaultRowHeight="14.4" x14ac:dyDescent="0.3"/>
  <cols>
    <col min="1" max="1" width="5.5546875" customWidth="1"/>
    <col min="2" max="2" width="23.33203125" customWidth="1"/>
    <col min="3" max="3" width="29.44140625" style="1" customWidth="1"/>
    <col min="4" max="4" width="23.88671875" customWidth="1"/>
    <col min="5" max="5" width="12.44140625" style="1" customWidth="1"/>
    <col min="6" max="6" width="4.6640625" customWidth="1"/>
    <col min="8" max="8" width="10.88671875" bestFit="1" customWidth="1"/>
  </cols>
  <sheetData>
    <row r="1" spans="1:8" ht="15.6" x14ac:dyDescent="0.3">
      <c r="A1" s="32"/>
      <c r="B1" s="54" t="s">
        <v>96</v>
      </c>
      <c r="C1" s="55" t="s">
        <v>97</v>
      </c>
      <c r="D1" s="33" t="s">
        <v>2</v>
      </c>
      <c r="E1" s="35">
        <f>IF(ISBLANK(C3),E4,E3)</f>
        <v>0</v>
      </c>
      <c r="H1" s="2"/>
    </row>
    <row r="2" spans="1:8" ht="15" thickBot="1" x14ac:dyDescent="0.35">
      <c r="A2" s="32"/>
      <c r="B2" s="56" t="s">
        <v>3</v>
      </c>
      <c r="C2" s="55">
        <v>60.1</v>
      </c>
      <c r="D2" s="33" t="s">
        <v>98</v>
      </c>
      <c r="E2" s="35">
        <f>E1/1.05</f>
        <v>0</v>
      </c>
    </row>
    <row r="3" spans="1:8" ht="16.8" thickTop="1" thickBot="1" x14ac:dyDescent="0.35">
      <c r="A3" s="32"/>
      <c r="B3" s="32" t="s">
        <v>4</v>
      </c>
      <c r="C3" s="36"/>
      <c r="D3" s="102" t="s">
        <v>47</v>
      </c>
      <c r="E3" s="38">
        <f>C2*C3*(C5/1000)</f>
        <v>0</v>
      </c>
      <c r="F3" s="2"/>
      <c r="G3" s="2"/>
      <c r="H3" s="2"/>
    </row>
    <row r="4" spans="1:8" ht="16.8" thickTop="1" thickBot="1" x14ac:dyDescent="0.35">
      <c r="A4" s="39" t="s">
        <v>6</v>
      </c>
      <c r="B4" s="32" t="s">
        <v>7</v>
      </c>
      <c r="C4" s="36"/>
      <c r="D4" s="102"/>
      <c r="E4" s="38">
        <f>(C5/100)*C4</f>
        <v>0</v>
      </c>
      <c r="F4" s="2"/>
      <c r="G4" s="2"/>
      <c r="H4" s="2"/>
    </row>
    <row r="5" spans="1:8" ht="17.399999999999999" thickTop="1" thickBot="1" x14ac:dyDescent="0.35">
      <c r="A5" s="32"/>
      <c r="B5" s="32" t="s">
        <v>48</v>
      </c>
      <c r="C5" s="36"/>
      <c r="D5" s="102"/>
      <c r="E5" s="40"/>
      <c r="F5" s="2"/>
      <c r="G5" s="2"/>
      <c r="H5" s="2"/>
    </row>
    <row r="6" spans="1:8" ht="15" thickTop="1" x14ac:dyDescent="0.3">
      <c r="A6" s="64"/>
      <c r="B6" s="65" t="s">
        <v>314</v>
      </c>
      <c r="C6" s="66"/>
      <c r="D6" s="64"/>
      <c r="E6" s="66"/>
    </row>
    <row r="9" spans="1:8" x14ac:dyDescent="0.3">
      <c r="C9" s="6"/>
    </row>
    <row r="10" spans="1:8" x14ac:dyDescent="0.3">
      <c r="C10" s="6"/>
    </row>
  </sheetData>
  <mergeCells count="1">
    <mergeCell ref="D3:D5"/>
  </mergeCells>
  <hyperlinks>
    <hyperlink ref="B6" location="'1'!A1" display="'1'!A1" xr:uid="{00000000-0004-0000-1000-000000000000}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0"/>
  <sheetViews>
    <sheetView workbookViewId="0">
      <selection activeCell="A6" sqref="A6:E6"/>
    </sheetView>
  </sheetViews>
  <sheetFormatPr defaultRowHeight="14.4" x14ac:dyDescent="0.3"/>
  <cols>
    <col min="1" max="1" width="5.5546875" customWidth="1"/>
    <col min="2" max="2" width="23.33203125" customWidth="1"/>
    <col min="3" max="3" width="29.44140625" style="1" customWidth="1"/>
    <col min="4" max="4" width="23.88671875" customWidth="1"/>
    <col min="5" max="5" width="12.44140625" style="1" customWidth="1"/>
    <col min="6" max="6" width="4.6640625" customWidth="1"/>
    <col min="8" max="8" width="10.88671875" bestFit="1" customWidth="1"/>
  </cols>
  <sheetData>
    <row r="1" spans="1:8" ht="15.6" x14ac:dyDescent="0.3">
      <c r="A1" s="32"/>
      <c r="B1" s="54" t="s">
        <v>96</v>
      </c>
      <c r="C1" s="55" t="s">
        <v>99</v>
      </c>
      <c r="D1" s="33" t="s">
        <v>2</v>
      </c>
      <c r="E1" s="35">
        <f>IF(ISBLANK(C3),E4,E3)</f>
        <v>0</v>
      </c>
      <c r="H1" s="2"/>
    </row>
    <row r="2" spans="1:8" ht="16.8" thickBot="1" x14ac:dyDescent="0.35">
      <c r="A2" s="32"/>
      <c r="B2" s="56" t="s">
        <v>3</v>
      </c>
      <c r="C2" s="55">
        <v>46.07</v>
      </c>
      <c r="D2" s="33" t="s">
        <v>100</v>
      </c>
      <c r="E2" s="35">
        <f>E1/0.79</f>
        <v>0</v>
      </c>
    </row>
    <row r="3" spans="1:8" ht="16.8" thickTop="1" thickBot="1" x14ac:dyDescent="0.35">
      <c r="A3" s="32"/>
      <c r="B3" s="32" t="s">
        <v>4</v>
      </c>
      <c r="C3" s="36"/>
      <c r="D3" s="102" t="s">
        <v>47</v>
      </c>
      <c r="E3" s="38">
        <f>C2*C3*(C5/1000)</f>
        <v>0</v>
      </c>
      <c r="F3" s="2"/>
      <c r="G3" s="2"/>
      <c r="H3" s="2"/>
    </row>
    <row r="4" spans="1:8" ht="16.8" thickTop="1" thickBot="1" x14ac:dyDescent="0.35">
      <c r="A4" s="39" t="s">
        <v>6</v>
      </c>
      <c r="B4" s="32" t="s">
        <v>7</v>
      </c>
      <c r="C4" s="36"/>
      <c r="D4" s="102"/>
      <c r="E4" s="38">
        <f>(C5/100)*C4</f>
        <v>0</v>
      </c>
      <c r="F4" s="2"/>
      <c r="G4" s="2"/>
      <c r="H4" s="2"/>
    </row>
    <row r="5" spans="1:8" ht="17.399999999999999" thickTop="1" thickBot="1" x14ac:dyDescent="0.35">
      <c r="A5" s="32"/>
      <c r="B5" s="32" t="s">
        <v>48</v>
      </c>
      <c r="C5" s="36"/>
      <c r="D5" s="102"/>
      <c r="E5" s="40"/>
      <c r="F5" s="2"/>
      <c r="G5" s="2"/>
      <c r="H5" s="2"/>
    </row>
    <row r="6" spans="1:8" ht="15" thickTop="1" x14ac:dyDescent="0.3">
      <c r="A6" s="64"/>
      <c r="B6" s="65" t="s">
        <v>314</v>
      </c>
      <c r="C6" s="66"/>
      <c r="D6" s="64"/>
      <c r="E6" s="66"/>
    </row>
    <row r="9" spans="1:8" x14ac:dyDescent="0.3">
      <c r="C9" s="6"/>
    </row>
    <row r="10" spans="1:8" x14ac:dyDescent="0.3">
      <c r="C10" s="6"/>
    </row>
  </sheetData>
  <mergeCells count="1">
    <mergeCell ref="D3:D5"/>
  </mergeCells>
  <hyperlinks>
    <hyperlink ref="B6" location="'1'!A1" display="'1'!A1" xr:uid="{00000000-0004-0000-11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>
      <selection activeCell="A6" sqref="A6:E6"/>
    </sheetView>
  </sheetViews>
  <sheetFormatPr defaultRowHeight="14.4" x14ac:dyDescent="0.3"/>
  <cols>
    <col min="1" max="1" width="3.44140625" customWidth="1"/>
    <col min="2" max="2" width="22.5546875" customWidth="1"/>
    <col min="3" max="3" width="38.88671875" style="1" customWidth="1"/>
    <col min="4" max="4" width="20.88671875" customWidth="1"/>
    <col min="5" max="5" width="8.88671875" style="1" customWidth="1"/>
    <col min="6" max="6" width="4.6640625" customWidth="1"/>
    <col min="8" max="8" width="10.88671875" bestFit="1" customWidth="1"/>
  </cols>
  <sheetData>
    <row r="1" spans="1:8" ht="15.6" x14ac:dyDescent="0.3">
      <c r="A1" s="7"/>
      <c r="B1" s="8" t="s">
        <v>0</v>
      </c>
      <c r="C1" s="9" t="s">
        <v>1</v>
      </c>
      <c r="D1" s="8" t="s">
        <v>2</v>
      </c>
      <c r="E1" s="10">
        <f>IF(ISBLANK(C3),E4,E3)</f>
        <v>0</v>
      </c>
      <c r="H1" s="2"/>
    </row>
    <row r="2" spans="1:8" x14ac:dyDescent="0.3">
      <c r="A2" s="7"/>
      <c r="B2" s="7" t="s">
        <v>3</v>
      </c>
      <c r="C2" s="9">
        <f>VLOOKUP(C1,Table1[],2,0)</f>
        <v>258.20999999999998</v>
      </c>
      <c r="D2" s="7"/>
      <c r="E2" s="7"/>
    </row>
    <row r="3" spans="1:8" ht="15.6" x14ac:dyDescent="0.3">
      <c r="A3" s="7"/>
      <c r="B3" s="7" t="s">
        <v>4</v>
      </c>
      <c r="C3" s="11"/>
      <c r="D3" s="98" t="s">
        <v>5</v>
      </c>
      <c r="E3" s="12">
        <f>C2*C3*(C5/1000)</f>
        <v>0</v>
      </c>
      <c r="F3" s="2"/>
      <c r="G3" s="2"/>
      <c r="H3" s="2"/>
    </row>
    <row r="4" spans="1:8" ht="15.6" x14ac:dyDescent="0.3">
      <c r="A4" s="13" t="s">
        <v>6</v>
      </c>
      <c r="B4" s="7" t="s">
        <v>7</v>
      </c>
      <c r="C4" s="11"/>
      <c r="D4" s="98"/>
      <c r="E4" s="12">
        <f>(C5/100)*C4</f>
        <v>0</v>
      </c>
      <c r="F4" s="2"/>
      <c r="G4" s="2"/>
      <c r="H4" s="2"/>
    </row>
    <row r="5" spans="1:8" ht="16.2" x14ac:dyDescent="0.3">
      <c r="A5" s="7"/>
      <c r="B5" s="7" t="s">
        <v>8</v>
      </c>
      <c r="C5" s="11"/>
      <c r="D5" s="98"/>
      <c r="E5" s="14"/>
      <c r="F5" s="2"/>
      <c r="G5" s="2"/>
      <c r="H5" s="2"/>
    </row>
    <row r="6" spans="1:8" ht="15" thickTop="1" x14ac:dyDescent="0.3">
      <c r="A6" s="64"/>
      <c r="B6" s="65" t="s">
        <v>314</v>
      </c>
      <c r="C6" s="66"/>
      <c r="D6" s="64"/>
      <c r="E6" s="66"/>
    </row>
    <row r="9" spans="1:8" x14ac:dyDescent="0.3">
      <c r="B9" t="s">
        <v>9</v>
      </c>
      <c r="C9" s="1" t="s">
        <v>10</v>
      </c>
      <c r="E9"/>
    </row>
    <row r="10" spans="1:8" ht="28.8" x14ac:dyDescent="0.3">
      <c r="B10" s="3" t="s">
        <v>11</v>
      </c>
      <c r="C10" s="5">
        <v>453.33</v>
      </c>
      <c r="D10" s="3"/>
      <c r="E10" s="3"/>
      <c r="F10" s="4"/>
    </row>
    <row r="11" spans="1:8" x14ac:dyDescent="0.3">
      <c r="B11" s="3" t="s">
        <v>12</v>
      </c>
      <c r="C11" s="5">
        <v>133.34</v>
      </c>
      <c r="D11" s="3"/>
      <c r="E11" s="3"/>
      <c r="F11" s="3"/>
    </row>
    <row r="12" spans="1:8" x14ac:dyDescent="0.3">
      <c r="B12" s="3" t="s">
        <v>13</v>
      </c>
      <c r="C12" s="5">
        <v>162.08000000000001</v>
      </c>
      <c r="D12" s="3"/>
      <c r="E12" s="3"/>
      <c r="F12" s="3"/>
    </row>
    <row r="13" spans="1:8" x14ac:dyDescent="0.3">
      <c r="B13" s="3" t="s">
        <v>14</v>
      </c>
      <c r="C13" s="5">
        <v>375.13</v>
      </c>
      <c r="D13" s="3"/>
      <c r="E13" s="3"/>
      <c r="F13" s="3"/>
    </row>
    <row r="14" spans="1:8" x14ac:dyDescent="0.3">
      <c r="B14" t="s">
        <v>1</v>
      </c>
      <c r="C14" s="5">
        <v>258.20999999999998</v>
      </c>
      <c r="D14" s="3"/>
      <c r="E14" s="3"/>
      <c r="F14" s="3"/>
    </row>
    <row r="15" spans="1:8" x14ac:dyDescent="0.3">
      <c r="B15" s="3" t="s">
        <v>15</v>
      </c>
      <c r="C15" s="5">
        <v>666.43</v>
      </c>
      <c r="D15" s="3"/>
      <c r="E15" s="3"/>
      <c r="F15" s="3"/>
    </row>
    <row r="16" spans="1:8" x14ac:dyDescent="0.3">
      <c r="C16" s="6"/>
    </row>
    <row r="17" spans="3:3" x14ac:dyDescent="0.3">
      <c r="C17" s="6"/>
    </row>
  </sheetData>
  <mergeCells count="1">
    <mergeCell ref="D3:D5"/>
  </mergeCells>
  <dataValidations count="1">
    <dataValidation type="list" allowBlank="1" showInputMessage="1" showErrorMessage="1" sqref="C1" xr:uid="{00000000-0002-0000-0100-000000000000}">
      <formula1>$B$10:$B$15</formula1>
    </dataValidation>
  </dataValidations>
  <hyperlinks>
    <hyperlink ref="B6" location="'1'!A1" display="'1'!A1" xr:uid="{00000000-0004-0000-0100-000000000000}"/>
  </hyperlinks>
  <pageMargins left="0.7" right="0.7" top="0.75" bottom="0.75" header="0.3" footer="0.3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8BDE4-1414-4C6F-BB8E-AEE97D661FA0}">
  <dimension ref="A1:E7"/>
  <sheetViews>
    <sheetView workbookViewId="0">
      <selection activeCell="G14" sqref="G14"/>
    </sheetView>
  </sheetViews>
  <sheetFormatPr defaultRowHeight="14.4" x14ac:dyDescent="0.3"/>
  <cols>
    <col min="1" max="1" width="2" customWidth="1"/>
    <col min="2" max="2" width="21.88671875" customWidth="1"/>
    <col min="3" max="3" width="16.44140625" style="1" customWidth="1"/>
    <col min="4" max="4" width="23.77734375" customWidth="1"/>
    <col min="5" max="5" width="9.5546875" style="1" customWidth="1"/>
    <col min="6" max="6" width="4.6640625" customWidth="1"/>
    <col min="8" max="8" width="10.88671875" bestFit="1" customWidth="1"/>
  </cols>
  <sheetData>
    <row r="1" spans="1:5" x14ac:dyDescent="0.3">
      <c r="A1" s="90"/>
      <c r="B1" s="91" t="s">
        <v>353</v>
      </c>
      <c r="C1" s="92"/>
      <c r="D1" s="93"/>
      <c r="E1" s="92"/>
    </row>
    <row r="2" spans="1:5" ht="15" thickBot="1" x14ac:dyDescent="0.35">
      <c r="A2" s="90"/>
      <c r="B2" s="103" t="s">
        <v>354</v>
      </c>
      <c r="C2" s="103"/>
      <c r="D2" s="103" t="s">
        <v>355</v>
      </c>
      <c r="E2" s="103"/>
    </row>
    <row r="3" spans="1:5" ht="15" thickBot="1" x14ac:dyDescent="0.35">
      <c r="A3" s="90"/>
      <c r="B3" s="90" t="s">
        <v>62</v>
      </c>
      <c r="C3" s="94">
        <f>(D1/100)*7</f>
        <v>0</v>
      </c>
      <c r="D3" s="90" t="s">
        <v>356</v>
      </c>
      <c r="E3" s="94">
        <f>(D1/100)*15.4</f>
        <v>0</v>
      </c>
    </row>
    <row r="4" spans="1:5" ht="15" thickBot="1" x14ac:dyDescent="0.35">
      <c r="A4" s="90"/>
      <c r="B4" s="95"/>
      <c r="C4" s="96"/>
      <c r="D4" s="90" t="s">
        <v>357</v>
      </c>
      <c r="E4" s="94">
        <f>(D1/100)*35</f>
        <v>0</v>
      </c>
    </row>
    <row r="5" spans="1:5" x14ac:dyDescent="0.3">
      <c r="A5" s="90"/>
      <c r="B5" s="95"/>
      <c r="C5" s="96"/>
      <c r="D5" s="90"/>
      <c r="E5" s="90"/>
    </row>
    <row r="6" spans="1:5" x14ac:dyDescent="0.3">
      <c r="C6" s="6"/>
    </row>
    <row r="7" spans="1:5" x14ac:dyDescent="0.3">
      <c r="C7" s="6"/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4"/>
  <sheetViews>
    <sheetView workbookViewId="0">
      <selection activeCell="A6" sqref="A6:E6"/>
    </sheetView>
  </sheetViews>
  <sheetFormatPr defaultRowHeight="14.4" x14ac:dyDescent="0.3"/>
  <cols>
    <col min="1" max="1" width="3.44140625" customWidth="1"/>
    <col min="2" max="2" width="22.5546875" customWidth="1"/>
    <col min="3" max="3" width="30.33203125" style="1" customWidth="1"/>
    <col min="4" max="4" width="20.88671875" customWidth="1"/>
    <col min="5" max="5" width="8.88671875" style="1" customWidth="1"/>
    <col min="6" max="6" width="4.6640625" customWidth="1"/>
    <col min="8" max="8" width="10.88671875" bestFit="1" customWidth="1"/>
  </cols>
  <sheetData>
    <row r="1" spans="1:8" ht="15.6" x14ac:dyDescent="0.3">
      <c r="A1" s="32"/>
      <c r="B1" s="33" t="s">
        <v>0</v>
      </c>
      <c r="C1" s="34" t="s">
        <v>35</v>
      </c>
      <c r="D1" s="33" t="s">
        <v>2</v>
      </c>
      <c r="E1" s="35">
        <f>IF(ISBLANK(C3),E4,E3)</f>
        <v>0</v>
      </c>
      <c r="H1" s="2"/>
    </row>
    <row r="2" spans="1:8" ht="15" thickBot="1" x14ac:dyDescent="0.35">
      <c r="A2" s="32"/>
      <c r="B2" s="32" t="s">
        <v>3</v>
      </c>
      <c r="C2" s="34">
        <f>VLOOKUP(C1,Table115[],2,0)</f>
        <v>37</v>
      </c>
      <c r="D2" s="32"/>
      <c r="E2" s="32"/>
    </row>
    <row r="3" spans="1:8" ht="16.8" thickTop="1" thickBot="1" x14ac:dyDescent="0.35">
      <c r="A3" s="32"/>
      <c r="B3" s="32" t="s">
        <v>4</v>
      </c>
      <c r="C3" s="36"/>
      <c r="D3" s="102" t="s">
        <v>47</v>
      </c>
      <c r="E3" s="38">
        <f>C2*C3*(C5/1000)</f>
        <v>0</v>
      </c>
      <c r="F3" s="2"/>
      <c r="G3" s="2"/>
      <c r="H3" s="2"/>
    </row>
    <row r="4" spans="1:8" ht="16.8" thickTop="1" thickBot="1" x14ac:dyDescent="0.35">
      <c r="A4" s="39" t="s">
        <v>6</v>
      </c>
      <c r="B4" s="32" t="s">
        <v>7</v>
      </c>
      <c r="C4" s="36"/>
      <c r="D4" s="102"/>
      <c r="E4" s="38">
        <f>(C5/100)*C4</f>
        <v>0</v>
      </c>
      <c r="F4" s="2"/>
      <c r="G4" s="2"/>
      <c r="H4" s="2"/>
    </row>
    <row r="5" spans="1:8" ht="17.399999999999999" thickTop="1" thickBot="1" x14ac:dyDescent="0.35">
      <c r="A5" s="32"/>
      <c r="B5" s="32" t="s">
        <v>48</v>
      </c>
      <c r="C5" s="36"/>
      <c r="D5" s="102"/>
      <c r="E5" s="40"/>
      <c r="F5" s="2"/>
      <c r="G5" s="2"/>
      <c r="H5" s="2"/>
    </row>
    <row r="6" spans="1:8" ht="15" thickTop="1" x14ac:dyDescent="0.3">
      <c r="A6" s="64"/>
      <c r="B6" s="65" t="s">
        <v>314</v>
      </c>
      <c r="C6" s="66"/>
      <c r="D6" s="64"/>
      <c r="E6" s="66"/>
    </row>
    <row r="9" spans="1:8" x14ac:dyDescent="0.3">
      <c r="B9" t="s">
        <v>9</v>
      </c>
      <c r="C9" s="1" t="s">
        <v>10</v>
      </c>
      <c r="E9"/>
    </row>
    <row r="10" spans="1:8" x14ac:dyDescent="0.3">
      <c r="B10" s="3" t="s">
        <v>35</v>
      </c>
      <c r="C10" s="51">
        <v>37</v>
      </c>
      <c r="E10"/>
    </row>
    <row r="11" spans="1:8" ht="17.25" customHeight="1" x14ac:dyDescent="0.3">
      <c r="B11" s="3" t="s">
        <v>101</v>
      </c>
      <c r="C11" s="51">
        <v>58.1</v>
      </c>
      <c r="E11"/>
    </row>
    <row r="12" spans="1:8" x14ac:dyDescent="0.3">
      <c r="B12" s="53" t="s">
        <v>102</v>
      </c>
      <c r="C12" s="51">
        <v>42</v>
      </c>
      <c r="E12"/>
    </row>
    <row r="13" spans="1:8" x14ac:dyDescent="0.3">
      <c r="B13" s="3"/>
      <c r="C13" s="5"/>
      <c r="D13" s="3"/>
      <c r="E13" s="3"/>
      <c r="F13" s="3"/>
    </row>
    <row r="14" spans="1:8" x14ac:dyDescent="0.3">
      <c r="C14" s="6"/>
    </row>
  </sheetData>
  <mergeCells count="1">
    <mergeCell ref="D3:D5"/>
  </mergeCells>
  <dataValidations count="1">
    <dataValidation type="list" allowBlank="1" showInputMessage="1" showErrorMessage="1" sqref="C1" xr:uid="{00000000-0002-0000-1200-000000000000}">
      <formula1>$B$10:$B$12</formula1>
    </dataValidation>
  </dataValidations>
  <hyperlinks>
    <hyperlink ref="B6" location="'1'!A1" display="'1'!A1" xr:uid="{00000000-0004-0000-1200-000000000000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14"/>
  <sheetViews>
    <sheetView workbookViewId="0">
      <selection activeCell="C2" sqref="C2"/>
    </sheetView>
  </sheetViews>
  <sheetFormatPr defaultRowHeight="14.4" x14ac:dyDescent="0.3"/>
  <cols>
    <col min="1" max="1" width="3.44140625" customWidth="1"/>
    <col min="2" max="2" width="22.5546875" customWidth="1"/>
    <col min="3" max="3" width="21.44140625" customWidth="1"/>
    <col min="4" max="4" width="25.88671875" customWidth="1"/>
    <col min="5" max="5" width="11.44140625" customWidth="1"/>
    <col min="6" max="6" width="6.5546875" customWidth="1"/>
  </cols>
  <sheetData>
    <row r="1" spans="1:5" ht="16.2" x14ac:dyDescent="0.3">
      <c r="A1" s="32"/>
      <c r="B1" s="32" t="s">
        <v>16</v>
      </c>
      <c r="C1" s="34">
        <v>0.35</v>
      </c>
      <c r="D1" s="33" t="s">
        <v>100</v>
      </c>
      <c r="E1" s="57">
        <f>IF(ISBLANK(C3),E4,E3)</f>
        <v>0</v>
      </c>
    </row>
    <row r="2" spans="1:5" ht="15" thickBot="1" x14ac:dyDescent="0.35">
      <c r="A2" s="32"/>
      <c r="B2" s="32" t="s">
        <v>19</v>
      </c>
      <c r="C2" s="34">
        <f>VLOOKUP(C1,Table116[[Original Conc]:[Conc]],2,0)</f>
        <v>11.3</v>
      </c>
      <c r="D2" s="32"/>
      <c r="E2" s="32"/>
    </row>
    <row r="3" spans="1:5" ht="15.6" thickTop="1" thickBot="1" x14ac:dyDescent="0.35">
      <c r="A3" s="32"/>
      <c r="B3" s="32" t="s">
        <v>4</v>
      </c>
      <c r="C3" s="36"/>
      <c r="D3" s="102" t="s">
        <v>47</v>
      </c>
      <c r="E3" s="38">
        <f>(C3/C2)*C5</f>
        <v>0</v>
      </c>
    </row>
    <row r="4" spans="1:5" ht="15.6" thickTop="1" thickBot="1" x14ac:dyDescent="0.35">
      <c r="A4" s="39" t="s">
        <v>6</v>
      </c>
      <c r="B4" s="32" t="s">
        <v>7</v>
      </c>
      <c r="C4" s="36"/>
      <c r="D4" s="102"/>
      <c r="E4" s="38">
        <f>C5*(C4/E5)</f>
        <v>0</v>
      </c>
    </row>
    <row r="5" spans="1:5" ht="17.399999999999999" thickTop="1" thickBot="1" x14ac:dyDescent="0.35">
      <c r="A5" s="32"/>
      <c r="B5" s="32" t="s">
        <v>48</v>
      </c>
      <c r="C5" s="36"/>
      <c r="D5" s="102"/>
      <c r="E5" s="58">
        <f>VLOOKUP(C1,Table116[],3,0)</f>
        <v>35</v>
      </c>
    </row>
    <row r="6" spans="1:5" ht="15" thickTop="1" x14ac:dyDescent="0.3">
      <c r="A6" s="64"/>
      <c r="B6" s="65" t="s">
        <v>314</v>
      </c>
      <c r="C6" s="66"/>
      <c r="D6" s="64"/>
      <c r="E6" s="66"/>
    </row>
    <row r="9" spans="1:5" x14ac:dyDescent="0.3">
      <c r="B9" s="24" t="s">
        <v>22</v>
      </c>
      <c r="C9" s="24" t="s">
        <v>23</v>
      </c>
      <c r="D9" s="24" t="s">
        <v>24</v>
      </c>
    </row>
    <row r="10" spans="1:5" x14ac:dyDescent="0.3">
      <c r="B10" s="25" t="s">
        <v>103</v>
      </c>
      <c r="C10" s="1">
        <v>12</v>
      </c>
      <c r="D10" s="26">
        <v>37</v>
      </c>
    </row>
    <row r="11" spans="1:5" x14ac:dyDescent="0.3">
      <c r="B11" s="25">
        <v>0.35</v>
      </c>
      <c r="C11" s="1">
        <v>11.3</v>
      </c>
      <c r="D11" s="26">
        <v>35</v>
      </c>
    </row>
    <row r="12" spans="1:5" x14ac:dyDescent="0.3">
      <c r="B12" s="25" t="s">
        <v>104</v>
      </c>
      <c r="C12" s="1">
        <v>4</v>
      </c>
      <c r="D12" s="26">
        <v>12.3</v>
      </c>
    </row>
    <row r="13" spans="1:5" x14ac:dyDescent="0.3">
      <c r="B13" s="1" t="s">
        <v>26</v>
      </c>
      <c r="C13" s="1">
        <v>2</v>
      </c>
      <c r="D13" s="26">
        <v>6.17</v>
      </c>
    </row>
    <row r="14" spans="1:5" x14ac:dyDescent="0.3">
      <c r="B14" s="25" t="s">
        <v>27</v>
      </c>
      <c r="C14" s="1">
        <v>1</v>
      </c>
      <c r="D14" s="26">
        <v>3.08</v>
      </c>
    </row>
  </sheetData>
  <mergeCells count="1">
    <mergeCell ref="D3:D5"/>
  </mergeCells>
  <dataValidations count="1">
    <dataValidation type="list" allowBlank="1" showInputMessage="1" showErrorMessage="1" sqref="C1" xr:uid="{00000000-0002-0000-1300-000000000000}">
      <formula1>$B$10:$B$14</formula1>
    </dataValidation>
  </dataValidations>
  <hyperlinks>
    <hyperlink ref="B6" location="'1'!A1" display="'1'!A1" xr:uid="{00000000-0004-0000-1300-000000000000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76001-5973-4B51-84A9-AB443001F625}">
  <dimension ref="A1:E13"/>
  <sheetViews>
    <sheetView workbookViewId="0">
      <selection activeCell="H14" sqref="H14"/>
    </sheetView>
  </sheetViews>
  <sheetFormatPr defaultRowHeight="14.4" x14ac:dyDescent="0.3"/>
  <cols>
    <col min="1" max="1" width="4.33203125" customWidth="1"/>
    <col min="2" max="2" width="28.33203125" customWidth="1"/>
    <col min="3" max="3" width="22" customWidth="1"/>
    <col min="4" max="4" width="26.109375" customWidth="1"/>
    <col min="5" max="5" width="12.5546875" customWidth="1"/>
    <col min="6" max="6" width="6.5546875" customWidth="1"/>
  </cols>
  <sheetData>
    <row r="1" spans="1:5" ht="16.8" thickBot="1" x14ac:dyDescent="0.35">
      <c r="A1" s="7"/>
      <c r="B1" s="7" t="s">
        <v>105</v>
      </c>
      <c r="C1" s="9" t="s">
        <v>106</v>
      </c>
      <c r="D1" s="8" t="s">
        <v>100</v>
      </c>
      <c r="E1" s="80">
        <f>(A5/A2)*C5</f>
        <v>0</v>
      </c>
    </row>
    <row r="2" spans="1:5" ht="15.6" thickTop="1" thickBot="1" x14ac:dyDescent="0.35">
      <c r="A2" s="59">
        <f>VLOOKUP(C1,Table150[[Original Conc]:[Conc]],2,0)</f>
        <v>8.8000000000000007</v>
      </c>
      <c r="B2" s="81" t="s">
        <v>107</v>
      </c>
      <c r="C2" s="11"/>
      <c r="D2" s="7"/>
      <c r="E2" s="7"/>
    </row>
    <row r="3" spans="1:5" ht="15.6" thickTop="1" thickBot="1" x14ac:dyDescent="0.35">
      <c r="A3" s="13" t="s">
        <v>6</v>
      </c>
      <c r="B3" s="81" t="s">
        <v>108</v>
      </c>
      <c r="C3" s="11"/>
      <c r="D3" s="98" t="s">
        <v>5</v>
      </c>
      <c r="E3" s="12">
        <f>(C3/A2)*C5</f>
        <v>0</v>
      </c>
    </row>
    <row r="4" spans="1:5" ht="15.6" thickTop="1" thickBot="1" x14ac:dyDescent="0.35">
      <c r="A4" s="13"/>
      <c r="B4" s="81" t="s">
        <v>109</v>
      </c>
      <c r="C4" s="11"/>
      <c r="D4" s="98"/>
      <c r="E4" s="12">
        <f>C5*(C4/E5)</f>
        <v>0</v>
      </c>
    </row>
    <row r="5" spans="1:5" ht="17.399999999999999" thickTop="1" thickBot="1" x14ac:dyDescent="0.35">
      <c r="A5" s="59">
        <f>IF(C2&gt;0,B6,IF(C3&gt;0,C3,C6))</f>
        <v>0</v>
      </c>
      <c r="B5" s="7" t="s">
        <v>8</v>
      </c>
      <c r="C5" s="11"/>
      <c r="D5" s="98"/>
      <c r="E5" s="58">
        <f>VLOOKUP(C1,Table150[],3,0)</f>
        <v>30</v>
      </c>
    </row>
    <row r="6" spans="1:5" ht="15" thickTop="1" x14ac:dyDescent="0.3">
      <c r="B6" s="82">
        <f>C2*0.088</f>
        <v>0</v>
      </c>
      <c r="C6" s="82">
        <f>C4*0.2933339</f>
        <v>0</v>
      </c>
    </row>
    <row r="9" spans="1:5" x14ac:dyDescent="0.3">
      <c r="B9" s="24" t="s">
        <v>22</v>
      </c>
      <c r="C9" s="24" t="s">
        <v>23</v>
      </c>
      <c r="D9" s="24" t="s">
        <v>24</v>
      </c>
    </row>
    <row r="10" spans="1:5" x14ac:dyDescent="0.3">
      <c r="B10" s="25" t="s">
        <v>106</v>
      </c>
      <c r="C10" s="1">
        <v>8.8000000000000007</v>
      </c>
      <c r="D10" s="1">
        <v>30</v>
      </c>
    </row>
    <row r="11" spans="1:5" x14ac:dyDescent="0.3">
      <c r="B11" s="25" t="s">
        <v>110</v>
      </c>
      <c r="C11" s="1">
        <v>4.4000000000000004</v>
      </c>
      <c r="D11" s="1">
        <v>15</v>
      </c>
    </row>
    <row r="12" spans="1:5" x14ac:dyDescent="0.3">
      <c r="B12" s="1" t="s">
        <v>111</v>
      </c>
      <c r="C12" s="1">
        <v>2.6</v>
      </c>
      <c r="D12" s="1">
        <v>9</v>
      </c>
    </row>
    <row r="13" spans="1:5" x14ac:dyDescent="0.3">
      <c r="B13" s="25" t="s">
        <v>112</v>
      </c>
      <c r="C13" s="1">
        <v>1.7</v>
      </c>
      <c r="D13" s="1">
        <v>6</v>
      </c>
    </row>
  </sheetData>
  <mergeCells count="1">
    <mergeCell ref="D3:D5"/>
  </mergeCells>
  <dataValidations count="1">
    <dataValidation type="list" allowBlank="1" showInputMessage="1" showErrorMessage="1" sqref="C1" xr:uid="{4275D91A-0A75-4B5C-A0E0-A33BCCB0B10E}">
      <formula1>$B$10:$B$13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3"/>
  <sheetViews>
    <sheetView workbookViewId="0">
      <selection activeCell="A6" sqref="A6:E6"/>
    </sheetView>
  </sheetViews>
  <sheetFormatPr defaultRowHeight="14.4" x14ac:dyDescent="0.3"/>
  <cols>
    <col min="1" max="1" width="3.44140625" customWidth="1"/>
    <col min="2" max="2" width="22.5546875" customWidth="1"/>
    <col min="3" max="3" width="30.33203125" style="1" customWidth="1"/>
    <col min="4" max="4" width="20.88671875" customWidth="1"/>
    <col min="5" max="5" width="8.88671875" style="1" customWidth="1"/>
    <col min="6" max="6" width="4.6640625" customWidth="1"/>
    <col min="8" max="8" width="10.88671875" bestFit="1" customWidth="1"/>
  </cols>
  <sheetData>
    <row r="1" spans="1:8" ht="15.6" x14ac:dyDescent="0.3">
      <c r="A1" s="32"/>
      <c r="B1" s="33" t="s">
        <v>0</v>
      </c>
      <c r="C1" s="34" t="s">
        <v>113</v>
      </c>
      <c r="D1" s="33" t="s">
        <v>2</v>
      </c>
      <c r="E1" s="35">
        <f>IF(ISBLANK(C3),E4,E3)</f>
        <v>0</v>
      </c>
      <c r="H1" s="2"/>
    </row>
    <row r="2" spans="1:8" ht="15" thickBot="1" x14ac:dyDescent="0.35">
      <c r="A2" s="32"/>
      <c r="B2" s="32" t="s">
        <v>3</v>
      </c>
      <c r="C2" s="34">
        <f>VLOOKUP(C1,Table118[],2,0)</f>
        <v>214</v>
      </c>
      <c r="D2" s="32"/>
      <c r="E2" s="32"/>
    </row>
    <row r="3" spans="1:8" ht="16.8" thickTop="1" thickBot="1" x14ac:dyDescent="0.35">
      <c r="A3" s="32"/>
      <c r="B3" s="32" t="s">
        <v>4</v>
      </c>
      <c r="C3" s="36"/>
      <c r="D3" s="102" t="s">
        <v>47</v>
      </c>
      <c r="E3" s="38">
        <f>C2*C3*(C5/1000)</f>
        <v>0</v>
      </c>
      <c r="F3" s="2"/>
      <c r="G3" s="2"/>
      <c r="H3" s="2"/>
    </row>
    <row r="4" spans="1:8" ht="16.8" thickTop="1" thickBot="1" x14ac:dyDescent="0.35">
      <c r="A4" s="39" t="s">
        <v>6</v>
      </c>
      <c r="B4" s="32" t="s">
        <v>7</v>
      </c>
      <c r="C4" s="36"/>
      <c r="D4" s="102"/>
      <c r="E4" s="38">
        <f>(C5/100)*C4</f>
        <v>0</v>
      </c>
      <c r="F4" s="2"/>
      <c r="G4" s="2"/>
      <c r="H4" s="2"/>
    </row>
    <row r="5" spans="1:8" ht="17.399999999999999" thickTop="1" thickBot="1" x14ac:dyDescent="0.35">
      <c r="A5" s="32"/>
      <c r="B5" s="32" t="s">
        <v>48</v>
      </c>
      <c r="C5" s="36"/>
      <c r="D5" s="102"/>
      <c r="E5" s="40"/>
      <c r="F5" s="2"/>
      <c r="G5" s="2"/>
      <c r="H5" s="2"/>
    </row>
    <row r="6" spans="1:8" ht="15" thickTop="1" x14ac:dyDescent="0.3">
      <c r="A6" s="64"/>
      <c r="B6" s="65" t="s">
        <v>314</v>
      </c>
      <c r="C6" s="66"/>
      <c r="D6" s="64"/>
      <c r="E6" s="66"/>
    </row>
    <row r="9" spans="1:8" x14ac:dyDescent="0.3">
      <c r="B9" t="s">
        <v>9</v>
      </c>
      <c r="C9" s="1" t="s">
        <v>10</v>
      </c>
      <c r="E9"/>
    </row>
    <row r="10" spans="1:8" x14ac:dyDescent="0.3">
      <c r="B10" s="3" t="s">
        <v>113</v>
      </c>
      <c r="C10" s="51">
        <v>214</v>
      </c>
      <c r="E10"/>
    </row>
    <row r="11" spans="1:8" ht="17.25" customHeight="1" x14ac:dyDescent="0.3">
      <c r="B11" s="3" t="s">
        <v>114</v>
      </c>
      <c r="C11" s="51">
        <v>197</v>
      </c>
      <c r="E11"/>
    </row>
    <row r="12" spans="1:8" x14ac:dyDescent="0.3">
      <c r="B12" s="3"/>
      <c r="C12" s="5"/>
      <c r="D12" s="3"/>
      <c r="E12" s="3"/>
      <c r="F12" s="3"/>
    </row>
    <row r="13" spans="1:8" x14ac:dyDescent="0.3">
      <c r="C13" s="6"/>
    </row>
  </sheetData>
  <mergeCells count="1">
    <mergeCell ref="D3:D5"/>
  </mergeCells>
  <dataValidations count="1">
    <dataValidation type="list" allowBlank="1" showInputMessage="1" showErrorMessage="1" sqref="C1" xr:uid="{00000000-0002-0000-1500-000000000000}">
      <formula1>$B$10:$B$11</formula1>
    </dataValidation>
  </dataValidations>
  <hyperlinks>
    <hyperlink ref="B6" location="'1'!A1" display="'1'!A1" xr:uid="{00000000-0004-0000-1500-000000000000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24"/>
  <sheetViews>
    <sheetView workbookViewId="0">
      <selection activeCell="A7" sqref="A7:E7"/>
    </sheetView>
  </sheetViews>
  <sheetFormatPr defaultRowHeight="14.4" x14ac:dyDescent="0.3"/>
  <cols>
    <col min="1" max="1" width="3.44140625" customWidth="1"/>
    <col min="2" max="2" width="22.5546875" customWidth="1"/>
    <col min="3" max="3" width="30.33203125" style="1" customWidth="1"/>
    <col min="4" max="4" width="20.88671875" customWidth="1"/>
    <col min="5" max="5" width="8.88671875" style="1" customWidth="1"/>
    <col min="6" max="6" width="4.6640625" customWidth="1"/>
    <col min="8" max="8" width="10.88671875" bestFit="1" customWidth="1"/>
  </cols>
  <sheetData>
    <row r="1" spans="1:8" ht="16.2" x14ac:dyDescent="0.35">
      <c r="A1" s="32"/>
      <c r="B1" s="33" t="s">
        <v>0</v>
      </c>
      <c r="C1" s="34" t="s">
        <v>115</v>
      </c>
      <c r="D1" s="33" t="s">
        <v>116</v>
      </c>
      <c r="E1" s="35">
        <f>IF(ISBLANK(C3),E4,E3)</f>
        <v>0</v>
      </c>
      <c r="H1" s="2"/>
    </row>
    <row r="2" spans="1:8" ht="15" thickBot="1" x14ac:dyDescent="0.35">
      <c r="A2" s="32"/>
      <c r="B2" s="32" t="s">
        <v>3</v>
      </c>
      <c r="C2" s="34">
        <f>VLOOKUP(C1,Table119[],2,0)</f>
        <v>253.81</v>
      </c>
      <c r="D2" s="32" t="s">
        <v>117</v>
      </c>
      <c r="E2" s="35">
        <f>E1*3.31</f>
        <v>0</v>
      </c>
    </row>
    <row r="3" spans="1:8" ht="16.8" thickTop="1" thickBot="1" x14ac:dyDescent="0.35">
      <c r="A3" s="32"/>
      <c r="B3" s="32" t="s">
        <v>4</v>
      </c>
      <c r="C3" s="36"/>
      <c r="D3" s="104" t="s">
        <v>118</v>
      </c>
      <c r="E3" s="38">
        <f>C2*C3*(C5/1000)</f>
        <v>0</v>
      </c>
      <c r="F3" s="2"/>
      <c r="G3" s="2"/>
      <c r="H3" s="2"/>
    </row>
    <row r="4" spans="1:8" ht="16.8" thickTop="1" thickBot="1" x14ac:dyDescent="0.35">
      <c r="A4" s="39" t="s">
        <v>6</v>
      </c>
      <c r="B4" s="32" t="s">
        <v>7</v>
      </c>
      <c r="C4" s="36"/>
      <c r="D4" s="104"/>
      <c r="E4" s="38">
        <f>(C5/100)*C4</f>
        <v>0</v>
      </c>
      <c r="F4" s="2"/>
      <c r="G4" s="2"/>
      <c r="H4" s="2"/>
    </row>
    <row r="5" spans="1:8" ht="17.399999999999999" thickTop="1" thickBot="1" x14ac:dyDescent="0.35">
      <c r="A5" s="32"/>
      <c r="B5" s="32" t="s">
        <v>48</v>
      </c>
      <c r="C5" s="36"/>
      <c r="D5" s="104"/>
      <c r="E5" s="40"/>
      <c r="F5" s="2"/>
      <c r="G5" s="2"/>
      <c r="H5" s="2"/>
    </row>
    <row r="6" spans="1:8" ht="15" thickTop="1" x14ac:dyDescent="0.3">
      <c r="A6" s="105" t="s">
        <v>119</v>
      </c>
      <c r="B6" s="105"/>
      <c r="C6" s="105"/>
      <c r="D6" s="105"/>
      <c r="E6" s="105"/>
    </row>
    <row r="7" spans="1:8" x14ac:dyDescent="0.3">
      <c r="A7" s="64"/>
      <c r="B7" s="65" t="s">
        <v>314</v>
      </c>
      <c r="C7" s="66"/>
      <c r="D7" s="64"/>
      <c r="E7" s="66"/>
    </row>
    <row r="9" spans="1:8" x14ac:dyDescent="0.3">
      <c r="B9" t="s">
        <v>9</v>
      </c>
      <c r="C9" s="1" t="s">
        <v>10</v>
      </c>
      <c r="E9"/>
    </row>
    <row r="10" spans="1:8" x14ac:dyDescent="0.3">
      <c r="B10" s="3" t="s">
        <v>115</v>
      </c>
      <c r="C10" s="51">
        <v>253.81</v>
      </c>
      <c r="E10"/>
    </row>
    <row r="11" spans="1:8" ht="17.25" customHeight="1" x14ac:dyDescent="0.3">
      <c r="B11" s="3"/>
      <c r="C11" s="51"/>
      <c r="E11"/>
    </row>
    <row r="12" spans="1:8" x14ac:dyDescent="0.3">
      <c r="B12" s="3"/>
      <c r="C12" s="5"/>
      <c r="D12" s="3"/>
      <c r="E12" s="3"/>
      <c r="F12" s="3"/>
    </row>
    <row r="13" spans="1:8" x14ac:dyDescent="0.3">
      <c r="C13" s="6"/>
    </row>
    <row r="17" spans="3:9" x14ac:dyDescent="0.3">
      <c r="C17" s="60"/>
      <c r="D17" s="60"/>
      <c r="E17" s="60"/>
      <c r="F17" s="60"/>
      <c r="I17" s="60"/>
    </row>
    <row r="18" spans="3:9" x14ac:dyDescent="0.3">
      <c r="C18" s="60"/>
      <c r="D18" s="60"/>
      <c r="E18" s="60"/>
      <c r="F18" s="60"/>
      <c r="I18" s="60"/>
    </row>
    <row r="20" spans="3:9" x14ac:dyDescent="0.3">
      <c r="C20" s="60"/>
      <c r="D20" s="60"/>
      <c r="E20" s="60"/>
      <c r="F20" s="60"/>
      <c r="I20" s="60"/>
    </row>
    <row r="21" spans="3:9" x14ac:dyDescent="0.3">
      <c r="C21" s="60"/>
      <c r="D21" s="60"/>
      <c r="E21" s="60"/>
      <c r="F21" s="60"/>
    </row>
    <row r="23" spans="3:9" x14ac:dyDescent="0.3">
      <c r="C23" s="60"/>
      <c r="D23" s="60"/>
      <c r="E23" s="60"/>
      <c r="F23" s="60"/>
      <c r="I23" s="60"/>
    </row>
    <row r="24" spans="3:9" x14ac:dyDescent="0.3">
      <c r="C24" s="60"/>
      <c r="D24" s="60"/>
      <c r="E24" s="60"/>
      <c r="F24" s="60"/>
    </row>
  </sheetData>
  <mergeCells count="2">
    <mergeCell ref="D3:D5"/>
    <mergeCell ref="A6:E6"/>
  </mergeCells>
  <dataValidations count="1">
    <dataValidation type="list" allowBlank="1" showInputMessage="1" showErrorMessage="1" sqref="C1" xr:uid="{00000000-0002-0000-1600-000000000000}">
      <formula1>$B$10:$B$11</formula1>
    </dataValidation>
  </dataValidations>
  <hyperlinks>
    <hyperlink ref="B7" location="'1'!A1" display="'1'!A1" xr:uid="{00000000-0004-0000-1600-000000000000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69154-983D-4E27-9041-143AA2596322}">
  <dimension ref="A1:H13"/>
  <sheetViews>
    <sheetView workbookViewId="0">
      <selection activeCell="C18" sqref="C18"/>
    </sheetView>
  </sheetViews>
  <sheetFormatPr defaultRowHeight="14.4" x14ac:dyDescent="0.3"/>
  <cols>
    <col min="1" max="1" width="3.44140625" customWidth="1"/>
    <col min="2" max="2" width="22.5546875" customWidth="1"/>
    <col min="3" max="3" width="30.33203125" style="1" customWidth="1"/>
    <col min="4" max="4" width="20.88671875" customWidth="1"/>
    <col min="5" max="5" width="8.88671875" style="1" customWidth="1"/>
    <col min="6" max="6" width="4.6640625" customWidth="1"/>
    <col min="8" max="8" width="10.88671875" bestFit="1" customWidth="1"/>
  </cols>
  <sheetData>
    <row r="1" spans="1:8" ht="15.6" x14ac:dyDescent="0.3">
      <c r="A1" s="83"/>
      <c r="B1" s="84" t="s">
        <v>0</v>
      </c>
      <c r="C1" s="85" t="s">
        <v>358</v>
      </c>
      <c r="D1" s="84" t="s">
        <v>2</v>
      </c>
      <c r="E1" s="86">
        <f>IF(ISBLANK(C3),E4,E3)</f>
        <v>0</v>
      </c>
      <c r="H1" s="2"/>
    </row>
    <row r="2" spans="1:8" ht="15" thickBot="1" x14ac:dyDescent="0.35">
      <c r="A2" s="83"/>
      <c r="B2" s="83" t="s">
        <v>3</v>
      </c>
      <c r="C2" s="85">
        <f>VLOOKUP(C1,Table117[],2,0)</f>
        <v>198.8</v>
      </c>
      <c r="D2" s="83"/>
      <c r="E2" s="83"/>
    </row>
    <row r="3" spans="1:8" ht="16.8" thickTop="1" thickBot="1" x14ac:dyDescent="0.35">
      <c r="A3" s="83"/>
      <c r="B3" s="83" t="s">
        <v>4</v>
      </c>
      <c r="C3" s="11"/>
      <c r="D3" s="106" t="s">
        <v>5</v>
      </c>
      <c r="E3" s="87">
        <f>C2*C3*(C5/1000)</f>
        <v>0</v>
      </c>
      <c r="F3" s="2"/>
      <c r="G3" s="2"/>
      <c r="H3" s="2"/>
    </row>
    <row r="4" spans="1:8" ht="16.8" thickTop="1" thickBot="1" x14ac:dyDescent="0.35">
      <c r="A4" s="88" t="s">
        <v>6</v>
      </c>
      <c r="B4" s="83" t="s">
        <v>7</v>
      </c>
      <c r="C4" s="11"/>
      <c r="D4" s="106"/>
      <c r="E4" s="87">
        <f>(C5/100)*C4</f>
        <v>0</v>
      </c>
      <c r="F4" s="2"/>
      <c r="G4" s="2"/>
      <c r="H4" s="2"/>
    </row>
    <row r="5" spans="1:8" ht="17.399999999999999" thickTop="1" thickBot="1" x14ac:dyDescent="0.35">
      <c r="A5" s="83"/>
      <c r="B5" s="83" t="s">
        <v>8</v>
      </c>
      <c r="C5" s="11"/>
      <c r="D5" s="106"/>
      <c r="E5" s="89"/>
      <c r="F5" s="2"/>
      <c r="G5" s="2"/>
      <c r="H5" s="2"/>
    </row>
    <row r="6" spans="1:8" ht="15" thickTop="1" x14ac:dyDescent="0.3"/>
    <row r="9" spans="1:8" x14ac:dyDescent="0.3">
      <c r="B9" t="s">
        <v>9</v>
      </c>
      <c r="C9" s="1" t="s">
        <v>10</v>
      </c>
      <c r="E9"/>
    </row>
    <row r="10" spans="1:8" ht="17.25" customHeight="1" x14ac:dyDescent="0.3">
      <c r="B10" s="3" t="s">
        <v>358</v>
      </c>
      <c r="C10" s="51">
        <v>198.8</v>
      </c>
      <c r="E10"/>
    </row>
    <row r="11" spans="1:8" x14ac:dyDescent="0.3">
      <c r="B11" s="3" t="s">
        <v>359</v>
      </c>
      <c r="C11" s="51">
        <v>278</v>
      </c>
      <c r="E11"/>
    </row>
    <row r="12" spans="1:8" x14ac:dyDescent="0.3">
      <c r="B12" s="97" t="s">
        <v>360</v>
      </c>
      <c r="C12" s="5">
        <v>270.3</v>
      </c>
      <c r="D12" s="3"/>
      <c r="E12" s="3"/>
      <c r="F12" s="3"/>
    </row>
    <row r="13" spans="1:8" x14ac:dyDescent="0.3">
      <c r="B13" s="97" t="s">
        <v>361</v>
      </c>
      <c r="C13" s="5">
        <v>404</v>
      </c>
    </row>
  </sheetData>
  <mergeCells count="1">
    <mergeCell ref="D3:D5"/>
  </mergeCells>
  <dataValidations count="1">
    <dataValidation type="list" allowBlank="1" showInputMessage="1" showErrorMessage="1" sqref="C1" xr:uid="{DD7C282B-EC2D-4AD8-AAEE-A4516A7B25AB}">
      <formula1>$B$10:$B$13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13"/>
  <sheetViews>
    <sheetView workbookViewId="0">
      <selection activeCell="A6" sqref="A6:E6"/>
    </sheetView>
  </sheetViews>
  <sheetFormatPr defaultRowHeight="14.4" x14ac:dyDescent="0.3"/>
  <cols>
    <col min="1" max="1" width="3.44140625" customWidth="1"/>
    <col min="2" max="2" width="22.5546875" customWidth="1"/>
    <col min="3" max="3" width="30.33203125" style="1" customWidth="1"/>
    <col min="4" max="4" width="20.88671875" customWidth="1"/>
    <col min="5" max="5" width="8.88671875" style="1" customWidth="1"/>
    <col min="6" max="6" width="4.6640625" customWidth="1"/>
    <col min="8" max="8" width="10.88671875" bestFit="1" customWidth="1"/>
  </cols>
  <sheetData>
    <row r="1" spans="1:8" ht="15.6" x14ac:dyDescent="0.3">
      <c r="A1" s="32"/>
      <c r="B1" s="33" t="s">
        <v>0</v>
      </c>
      <c r="C1" s="34" t="s">
        <v>120</v>
      </c>
      <c r="D1" s="33" t="s">
        <v>2</v>
      </c>
      <c r="E1" s="35">
        <f>IF(ISBLANK(C3),E4,E3)</f>
        <v>0</v>
      </c>
      <c r="H1" s="2"/>
    </row>
    <row r="2" spans="1:8" ht="15" thickBot="1" x14ac:dyDescent="0.35">
      <c r="A2" s="32"/>
      <c r="B2" s="32" t="s">
        <v>3</v>
      </c>
      <c r="C2" s="34">
        <f>VLOOKUP(C1,Table120[],2,0)</f>
        <v>379.3</v>
      </c>
      <c r="D2" s="32"/>
      <c r="E2" s="32"/>
    </row>
    <row r="3" spans="1:8" ht="16.8" thickTop="1" thickBot="1" x14ac:dyDescent="0.35">
      <c r="A3" s="32"/>
      <c r="B3" s="32" t="s">
        <v>4</v>
      </c>
      <c r="C3" s="36"/>
      <c r="D3" s="102" t="s">
        <v>47</v>
      </c>
      <c r="E3" s="38">
        <f>C2*C3*(C5/1000)</f>
        <v>0</v>
      </c>
      <c r="F3" s="2"/>
      <c r="G3" s="2"/>
      <c r="H3" s="2"/>
    </row>
    <row r="4" spans="1:8" ht="16.8" thickTop="1" thickBot="1" x14ac:dyDescent="0.35">
      <c r="A4" s="39" t="s">
        <v>6</v>
      </c>
      <c r="B4" s="32" t="s">
        <v>7</v>
      </c>
      <c r="C4" s="36"/>
      <c r="D4" s="102"/>
      <c r="E4" s="38">
        <f>(C5/100)*C4</f>
        <v>0</v>
      </c>
      <c r="F4" s="2"/>
      <c r="G4" s="2"/>
      <c r="H4" s="2"/>
    </row>
    <row r="5" spans="1:8" ht="17.399999999999999" thickTop="1" thickBot="1" x14ac:dyDescent="0.35">
      <c r="A5" s="32"/>
      <c r="B5" s="32" t="s">
        <v>48</v>
      </c>
      <c r="C5" s="36"/>
      <c r="D5" s="102"/>
      <c r="E5" s="40"/>
      <c r="F5" s="2"/>
      <c r="G5" s="2"/>
      <c r="H5" s="2"/>
    </row>
    <row r="6" spans="1:8" ht="15" thickTop="1" x14ac:dyDescent="0.3">
      <c r="A6" s="64"/>
      <c r="B6" s="65" t="s">
        <v>314</v>
      </c>
      <c r="C6" s="66"/>
      <c r="D6" s="64"/>
      <c r="E6" s="66"/>
    </row>
    <row r="9" spans="1:8" x14ac:dyDescent="0.3">
      <c r="B9" t="s">
        <v>9</v>
      </c>
      <c r="C9" s="1" t="s">
        <v>10</v>
      </c>
      <c r="E9"/>
    </row>
    <row r="10" spans="1:8" x14ac:dyDescent="0.3">
      <c r="B10" s="3" t="s">
        <v>120</v>
      </c>
      <c r="C10" s="51">
        <v>379.3</v>
      </c>
      <c r="E10"/>
    </row>
    <row r="11" spans="1:8" ht="17.25" customHeight="1" x14ac:dyDescent="0.3">
      <c r="B11" s="3" t="s">
        <v>121</v>
      </c>
      <c r="C11" s="51">
        <v>331.2</v>
      </c>
      <c r="E11"/>
    </row>
    <row r="12" spans="1:8" x14ac:dyDescent="0.3">
      <c r="B12" s="3"/>
      <c r="C12" s="5"/>
      <c r="D12" s="3"/>
      <c r="E12" s="3"/>
      <c r="F12" s="3"/>
    </row>
    <row r="13" spans="1:8" x14ac:dyDescent="0.3">
      <c r="C13" s="6"/>
    </row>
  </sheetData>
  <mergeCells count="1">
    <mergeCell ref="D3:D5"/>
  </mergeCells>
  <dataValidations count="1">
    <dataValidation type="list" allowBlank="1" showInputMessage="1" showErrorMessage="1" sqref="C1" xr:uid="{00000000-0002-0000-1700-000000000000}">
      <formula1>$B$10:$B$11</formula1>
    </dataValidation>
  </dataValidations>
  <hyperlinks>
    <hyperlink ref="B6" location="'1'!A1" display="'1'!A1" xr:uid="{00000000-0004-0000-1700-000000000000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20"/>
  <sheetViews>
    <sheetView workbookViewId="0">
      <selection activeCell="A6" sqref="A6:E6"/>
    </sheetView>
  </sheetViews>
  <sheetFormatPr defaultRowHeight="14.4" x14ac:dyDescent="0.3"/>
  <cols>
    <col min="1" max="1" width="3.44140625" customWidth="1"/>
    <col min="2" max="2" width="22.5546875" customWidth="1"/>
    <col min="3" max="3" width="30.33203125" style="1" customWidth="1"/>
    <col min="4" max="4" width="20.88671875" customWidth="1"/>
    <col min="5" max="5" width="8.88671875" style="1" customWidth="1"/>
    <col min="6" max="6" width="4.6640625" customWidth="1"/>
    <col min="8" max="8" width="10.88671875" bestFit="1" customWidth="1"/>
  </cols>
  <sheetData>
    <row r="1" spans="1:8" ht="15.6" x14ac:dyDescent="0.3">
      <c r="A1" s="32"/>
      <c r="B1" s="33" t="s">
        <v>0</v>
      </c>
      <c r="C1" s="34" t="s">
        <v>122</v>
      </c>
      <c r="D1" s="33" t="s">
        <v>2</v>
      </c>
      <c r="E1" s="35">
        <f>IF(ISBLANK(C3),E4,E3)</f>
        <v>0</v>
      </c>
      <c r="H1" s="2"/>
    </row>
    <row r="2" spans="1:8" ht="15" thickBot="1" x14ac:dyDescent="0.35">
      <c r="A2" s="32"/>
      <c r="B2" s="32" t="s">
        <v>3</v>
      </c>
      <c r="C2" s="34">
        <f>VLOOKUP(C1,Table121[],2,0)</f>
        <v>86.8</v>
      </c>
      <c r="D2" s="32"/>
      <c r="E2" s="32"/>
    </row>
    <row r="3" spans="1:8" ht="16.8" thickTop="1" thickBot="1" x14ac:dyDescent="0.35">
      <c r="A3" s="32"/>
      <c r="B3" s="32" t="s">
        <v>4</v>
      </c>
      <c r="C3" s="36"/>
      <c r="D3" s="102" t="s">
        <v>47</v>
      </c>
      <c r="E3" s="38">
        <f>C2*C3*(C5/1000)</f>
        <v>0</v>
      </c>
      <c r="F3" s="2"/>
      <c r="G3" s="2"/>
      <c r="H3" s="2"/>
    </row>
    <row r="4" spans="1:8" ht="16.8" thickTop="1" thickBot="1" x14ac:dyDescent="0.35">
      <c r="A4" s="39" t="s">
        <v>6</v>
      </c>
      <c r="B4" s="32" t="s">
        <v>7</v>
      </c>
      <c r="C4" s="36"/>
      <c r="D4" s="102"/>
      <c r="E4" s="38">
        <f>(C5/100)*C4</f>
        <v>0</v>
      </c>
      <c r="F4" s="2"/>
      <c r="G4" s="2"/>
      <c r="H4" s="2"/>
    </row>
    <row r="5" spans="1:8" ht="17.399999999999999" thickTop="1" thickBot="1" x14ac:dyDescent="0.35">
      <c r="A5" s="32"/>
      <c r="B5" s="32" t="s">
        <v>48</v>
      </c>
      <c r="C5" s="36"/>
      <c r="D5" s="102"/>
      <c r="E5" s="40"/>
      <c r="F5" s="2"/>
      <c r="G5" s="2"/>
      <c r="H5" s="2"/>
    </row>
    <row r="6" spans="1:8" ht="15" thickTop="1" x14ac:dyDescent="0.3">
      <c r="A6" s="64"/>
      <c r="B6" s="65" t="s">
        <v>314</v>
      </c>
      <c r="C6" s="66"/>
      <c r="D6" s="64"/>
      <c r="E6" s="66"/>
    </row>
    <row r="9" spans="1:8" x14ac:dyDescent="0.3">
      <c r="B9" t="s">
        <v>9</v>
      </c>
      <c r="C9" s="1" t="s">
        <v>10</v>
      </c>
      <c r="E9"/>
    </row>
    <row r="10" spans="1:8" x14ac:dyDescent="0.3">
      <c r="B10" s="53" t="s">
        <v>122</v>
      </c>
      <c r="C10" s="5">
        <v>86.8</v>
      </c>
      <c r="E10"/>
    </row>
    <row r="11" spans="1:8" ht="17.25" customHeight="1" x14ac:dyDescent="0.3">
      <c r="B11" s="3" t="s">
        <v>123</v>
      </c>
      <c r="C11" s="5">
        <v>73.900000000000006</v>
      </c>
      <c r="E11"/>
    </row>
    <row r="12" spans="1:8" x14ac:dyDescent="0.3">
      <c r="B12" s="53" t="s">
        <v>124</v>
      </c>
      <c r="C12" s="5">
        <v>42.4</v>
      </c>
      <c r="E12"/>
    </row>
    <row r="13" spans="1:8" x14ac:dyDescent="0.3">
      <c r="B13" s="3" t="s">
        <v>125</v>
      </c>
      <c r="C13" s="5">
        <v>25.9</v>
      </c>
      <c r="E13"/>
    </row>
    <row r="14" spans="1:8" x14ac:dyDescent="0.3">
      <c r="B14" s="53" t="s">
        <v>126</v>
      </c>
      <c r="C14" s="5">
        <v>24</v>
      </c>
      <c r="E14"/>
    </row>
    <row r="15" spans="1:8" x14ac:dyDescent="0.3">
      <c r="B15" s="53" t="s">
        <v>127</v>
      </c>
      <c r="C15" s="5">
        <v>42</v>
      </c>
      <c r="E15"/>
    </row>
    <row r="16" spans="1:8" x14ac:dyDescent="0.3">
      <c r="B16" s="3" t="s">
        <v>128</v>
      </c>
      <c r="C16" s="5">
        <v>68.900000000000006</v>
      </c>
      <c r="E16"/>
    </row>
    <row r="17" spans="2:6" x14ac:dyDescent="0.3">
      <c r="B17" s="3" t="s">
        <v>129</v>
      </c>
      <c r="C17" s="5">
        <v>109.94</v>
      </c>
      <c r="E17"/>
    </row>
    <row r="18" spans="2:6" x14ac:dyDescent="0.3">
      <c r="B18" s="3" t="s">
        <v>130</v>
      </c>
      <c r="C18" s="5">
        <v>127.96</v>
      </c>
      <c r="D18" s="3"/>
      <c r="E18" s="3"/>
      <c r="F18" s="3"/>
    </row>
    <row r="19" spans="2:6" x14ac:dyDescent="0.3">
      <c r="B19" s="3"/>
      <c r="C19" s="5"/>
      <c r="D19" s="3"/>
      <c r="E19" s="3"/>
      <c r="F19" s="3"/>
    </row>
    <row r="20" spans="2:6" x14ac:dyDescent="0.3">
      <c r="C20" s="6"/>
    </row>
  </sheetData>
  <mergeCells count="1">
    <mergeCell ref="D3:D5"/>
  </mergeCells>
  <dataValidations count="1">
    <dataValidation type="list" allowBlank="1" showInputMessage="1" showErrorMessage="1" sqref="C1" xr:uid="{00000000-0002-0000-1800-000000000000}">
      <formula1>$B$10:$B$18</formula1>
    </dataValidation>
  </dataValidations>
  <hyperlinks>
    <hyperlink ref="B6" location="'1'!A1" display="'1'!A1" xr:uid="{00000000-0004-0000-1800-000000000000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5"/>
  <sheetViews>
    <sheetView workbookViewId="0">
      <selection activeCell="A6" sqref="A6:E6"/>
    </sheetView>
  </sheetViews>
  <sheetFormatPr defaultRowHeight="14.4" x14ac:dyDescent="0.3"/>
  <cols>
    <col min="1" max="1" width="3.44140625" customWidth="1"/>
    <col min="2" max="2" width="22.5546875" customWidth="1"/>
    <col min="3" max="3" width="30.33203125" style="1" customWidth="1"/>
    <col min="4" max="4" width="20.88671875" customWidth="1"/>
    <col min="5" max="5" width="8.88671875" style="1" customWidth="1"/>
    <col min="6" max="6" width="4.6640625" customWidth="1"/>
    <col min="8" max="8" width="10.88671875" bestFit="1" customWidth="1"/>
  </cols>
  <sheetData>
    <row r="1" spans="1:8" ht="15.6" x14ac:dyDescent="0.3">
      <c r="A1" s="32"/>
      <c r="B1" s="33" t="s">
        <v>0</v>
      </c>
      <c r="C1" s="34" t="s">
        <v>131</v>
      </c>
      <c r="D1" s="33" t="s">
        <v>2</v>
      </c>
      <c r="E1" s="35">
        <f>IF(ISBLANK(C3),E4,E3)</f>
        <v>0</v>
      </c>
      <c r="H1" s="2"/>
    </row>
    <row r="2" spans="1:8" ht="15" thickBot="1" x14ac:dyDescent="0.35">
      <c r="A2" s="32"/>
      <c r="B2" s="32" t="s">
        <v>3</v>
      </c>
      <c r="C2" s="34">
        <f>VLOOKUP(C1,Table122[],2,0)</f>
        <v>292.2</v>
      </c>
      <c r="D2" s="32"/>
      <c r="E2" s="32"/>
    </row>
    <row r="3" spans="1:8" ht="16.8" thickTop="1" thickBot="1" x14ac:dyDescent="0.35">
      <c r="A3" s="32"/>
      <c r="B3" s="32" t="s">
        <v>4</v>
      </c>
      <c r="C3" s="36"/>
      <c r="D3" s="102" t="s">
        <v>47</v>
      </c>
      <c r="E3" s="38">
        <f>C2*C3*(C5/1000)</f>
        <v>0</v>
      </c>
      <c r="F3" s="2"/>
      <c r="G3" s="2"/>
      <c r="H3" s="2"/>
    </row>
    <row r="4" spans="1:8" ht="16.8" thickTop="1" thickBot="1" x14ac:dyDescent="0.35">
      <c r="A4" s="39" t="s">
        <v>6</v>
      </c>
      <c r="B4" s="32" t="s">
        <v>7</v>
      </c>
      <c r="C4" s="36"/>
      <c r="D4" s="102"/>
      <c r="E4" s="38">
        <f>(C5/100)*C4</f>
        <v>0</v>
      </c>
      <c r="F4" s="2"/>
      <c r="G4" s="2"/>
      <c r="H4" s="2"/>
    </row>
    <row r="5" spans="1:8" ht="17.399999999999999" thickTop="1" thickBot="1" x14ac:dyDescent="0.35">
      <c r="A5" s="32"/>
      <c r="B5" s="32" t="s">
        <v>48</v>
      </c>
      <c r="C5" s="36"/>
      <c r="D5" s="102"/>
      <c r="E5" s="40"/>
      <c r="F5" s="2"/>
      <c r="G5" s="2"/>
      <c r="H5" s="2"/>
    </row>
    <row r="6" spans="1:8" ht="15" thickTop="1" x14ac:dyDescent="0.3">
      <c r="A6" s="64"/>
      <c r="B6" s="65" t="s">
        <v>314</v>
      </c>
      <c r="C6" s="66"/>
      <c r="D6" s="64"/>
      <c r="E6" s="66"/>
    </row>
    <row r="9" spans="1:8" x14ac:dyDescent="0.3">
      <c r="B9" t="s">
        <v>9</v>
      </c>
      <c r="C9" s="1" t="s">
        <v>10</v>
      </c>
      <c r="E9"/>
    </row>
    <row r="10" spans="1:8" x14ac:dyDescent="0.3">
      <c r="B10" s="53" t="s">
        <v>131</v>
      </c>
      <c r="C10" s="5">
        <v>292.2</v>
      </c>
      <c r="E10"/>
    </row>
    <row r="11" spans="1:8" ht="17.25" customHeight="1" x14ac:dyDescent="0.3">
      <c r="B11" s="53" t="s">
        <v>132</v>
      </c>
      <c r="C11" s="5">
        <v>203.3</v>
      </c>
      <c r="E11"/>
    </row>
    <row r="12" spans="1:8" x14ac:dyDescent="0.3">
      <c r="B12" s="53" t="s">
        <v>133</v>
      </c>
      <c r="C12" s="5">
        <v>278.11</v>
      </c>
      <c r="E12"/>
    </row>
    <row r="13" spans="1:8" x14ac:dyDescent="0.3">
      <c r="B13" s="53" t="s">
        <v>134</v>
      </c>
      <c r="C13" s="5">
        <v>256.41000000000003</v>
      </c>
      <c r="E13"/>
    </row>
    <row r="14" spans="1:8" x14ac:dyDescent="0.3">
      <c r="B14" s="53" t="s">
        <v>135</v>
      </c>
      <c r="C14" s="5">
        <v>246.47</v>
      </c>
      <c r="E14"/>
    </row>
    <row r="15" spans="1:8" x14ac:dyDescent="0.3">
      <c r="C15" s="6"/>
    </row>
  </sheetData>
  <mergeCells count="1">
    <mergeCell ref="D3:D5"/>
  </mergeCells>
  <dataValidations count="1">
    <dataValidation type="list" allowBlank="1" showInputMessage="1" showErrorMessage="1" sqref="C1" xr:uid="{00000000-0002-0000-1900-000000000000}">
      <formula1>$B$10:$B$14</formula1>
    </dataValidation>
  </dataValidations>
  <hyperlinks>
    <hyperlink ref="B6" location="'1'!A1" display="'1'!A1" xr:uid="{00000000-0004-0000-1900-000000000000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"/>
  <sheetViews>
    <sheetView workbookViewId="0">
      <selection activeCell="A6" sqref="A6:E6"/>
    </sheetView>
  </sheetViews>
  <sheetFormatPr defaultRowHeight="14.4" x14ac:dyDescent="0.3"/>
  <cols>
    <col min="1" max="1" width="4.33203125" customWidth="1"/>
    <col min="2" max="2" width="28.33203125" customWidth="1"/>
    <col min="3" max="3" width="22" customWidth="1"/>
    <col min="4" max="4" width="31.5546875" customWidth="1"/>
    <col min="5" max="5" width="14.88671875" customWidth="1"/>
    <col min="6" max="6" width="6.5546875" customWidth="1"/>
  </cols>
  <sheetData>
    <row r="1" spans="1:5" ht="19.2" x14ac:dyDescent="0.3">
      <c r="A1" s="15"/>
      <c r="B1" s="16" t="s">
        <v>16</v>
      </c>
      <c r="C1" s="17" t="s">
        <v>17</v>
      </c>
      <c r="D1" s="18" t="s">
        <v>18</v>
      </c>
      <c r="E1" s="19">
        <f>IF(ISBLANK(C3),E4,E3)</f>
        <v>0</v>
      </c>
    </row>
    <row r="2" spans="1:5" ht="16.2" thickBot="1" x14ac:dyDescent="0.35">
      <c r="A2" s="15"/>
      <c r="B2" s="16" t="s">
        <v>19</v>
      </c>
      <c r="C2" s="17">
        <f>VLOOKUP(C1,Table13[[Original Conc]:[Conc]],2,0)</f>
        <v>18.100000000000001</v>
      </c>
      <c r="D2" s="15"/>
      <c r="E2" s="15"/>
    </row>
    <row r="3" spans="1:5" ht="16.8" thickTop="1" thickBot="1" x14ac:dyDescent="0.35">
      <c r="A3" s="15"/>
      <c r="B3" s="16" t="s">
        <v>4</v>
      </c>
      <c r="C3" s="20"/>
      <c r="D3" s="99" t="s">
        <v>20</v>
      </c>
      <c r="E3" s="21">
        <f>(C3/C2)*C5</f>
        <v>0</v>
      </c>
    </row>
    <row r="4" spans="1:5" ht="16.8" thickTop="1" thickBot="1" x14ac:dyDescent="0.35">
      <c r="A4" s="22" t="s">
        <v>6</v>
      </c>
      <c r="B4" s="16" t="s">
        <v>7</v>
      </c>
      <c r="C4" s="20"/>
      <c r="D4" s="99"/>
      <c r="E4" s="21">
        <f>C5*(C4/E5)</f>
        <v>0</v>
      </c>
    </row>
    <row r="5" spans="1:5" ht="19.2" thickTop="1" thickBot="1" x14ac:dyDescent="0.35">
      <c r="A5" s="16"/>
      <c r="B5" s="16" t="s">
        <v>21</v>
      </c>
      <c r="C5" s="20"/>
      <c r="D5" s="99"/>
      <c r="E5" s="23">
        <f>VLOOKUP(C1,Table13[],3,0)</f>
        <v>35</v>
      </c>
    </row>
    <row r="6" spans="1:5" ht="15" thickTop="1" x14ac:dyDescent="0.3">
      <c r="A6" s="64"/>
      <c r="B6" s="65" t="s">
        <v>314</v>
      </c>
      <c r="C6" s="66"/>
      <c r="D6" s="64"/>
      <c r="E6" s="66"/>
    </row>
    <row r="11" spans="1:5" x14ac:dyDescent="0.3">
      <c r="B11" s="24" t="s">
        <v>22</v>
      </c>
      <c r="C11" s="24" t="s">
        <v>23</v>
      </c>
      <c r="D11" s="24" t="s">
        <v>24</v>
      </c>
    </row>
    <row r="12" spans="1:5" x14ac:dyDescent="0.3">
      <c r="B12" s="25" t="s">
        <v>17</v>
      </c>
      <c r="C12" s="1">
        <v>18.100000000000001</v>
      </c>
      <c r="D12" s="26">
        <v>35</v>
      </c>
    </row>
    <row r="13" spans="1:5" x14ac:dyDescent="0.3">
      <c r="B13" s="25" t="s">
        <v>25</v>
      </c>
      <c r="C13" s="1">
        <v>12.92</v>
      </c>
      <c r="D13" s="26">
        <v>25</v>
      </c>
    </row>
    <row r="14" spans="1:5" x14ac:dyDescent="0.3">
      <c r="B14" s="1" t="s">
        <v>26</v>
      </c>
      <c r="C14" s="1">
        <v>2</v>
      </c>
      <c r="D14" s="26">
        <v>3.87</v>
      </c>
    </row>
    <row r="15" spans="1:5" x14ac:dyDescent="0.3">
      <c r="B15" s="25" t="s">
        <v>27</v>
      </c>
      <c r="C15" s="1">
        <v>1</v>
      </c>
      <c r="D15" s="26">
        <v>1.93</v>
      </c>
    </row>
  </sheetData>
  <mergeCells count="1">
    <mergeCell ref="D3:D5"/>
  </mergeCells>
  <dataValidations count="1">
    <dataValidation type="list" allowBlank="1" showInputMessage="1" showErrorMessage="1" sqref="C1" xr:uid="{00000000-0002-0000-0200-000000000000}">
      <formula1>$B$12:$B$15</formula1>
    </dataValidation>
  </dataValidations>
  <hyperlinks>
    <hyperlink ref="B6" location="'1'!A1" display="'1'!A1" xr:uid="{00000000-0004-0000-0200-000000000000}"/>
  </hyperlinks>
  <pageMargins left="0.7" right="0.7" top="0.75" bottom="0.75" header="0.3" footer="0.3"/>
  <tableParts count="1">
    <tablePart r:id="rId1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5"/>
  <sheetViews>
    <sheetView workbookViewId="0">
      <selection activeCell="A6" sqref="A6:E6"/>
    </sheetView>
  </sheetViews>
  <sheetFormatPr defaultRowHeight="14.4" x14ac:dyDescent="0.3"/>
  <cols>
    <col min="1" max="1" width="3.44140625" customWidth="1"/>
    <col min="2" max="2" width="22.5546875" customWidth="1"/>
    <col min="3" max="3" width="30.33203125" style="1" customWidth="1"/>
    <col min="4" max="4" width="20.88671875" customWidth="1"/>
    <col min="5" max="5" width="8.88671875" style="1" customWidth="1"/>
    <col min="6" max="6" width="4.6640625" customWidth="1"/>
    <col min="8" max="8" width="10.88671875" bestFit="1" customWidth="1"/>
  </cols>
  <sheetData>
    <row r="1" spans="1:8" ht="15.6" x14ac:dyDescent="0.3">
      <c r="A1" s="32"/>
      <c r="B1" s="33" t="s">
        <v>0</v>
      </c>
      <c r="C1" s="34" t="s">
        <v>136</v>
      </c>
      <c r="D1" s="33" t="s">
        <v>2</v>
      </c>
      <c r="E1" s="35">
        <f>IF(ISBLANK(C3),E4,E3)</f>
        <v>0</v>
      </c>
      <c r="H1" s="2"/>
    </row>
    <row r="2" spans="1:8" ht="15" thickBot="1" x14ac:dyDescent="0.35">
      <c r="A2" s="32"/>
      <c r="B2" s="32" t="s">
        <v>3</v>
      </c>
      <c r="C2" s="34">
        <f>VLOOKUP(C1,Table123[],2,0)</f>
        <v>286.60000000000002</v>
      </c>
      <c r="D2" s="32"/>
      <c r="E2" s="32"/>
    </row>
    <row r="3" spans="1:8" ht="16.8" thickTop="1" thickBot="1" x14ac:dyDescent="0.35">
      <c r="A3" s="32"/>
      <c r="B3" s="32" t="s">
        <v>4</v>
      </c>
      <c r="C3" s="36"/>
      <c r="D3" s="102" t="s">
        <v>47</v>
      </c>
      <c r="E3" s="38">
        <f>C2*C3*(C5/1000)</f>
        <v>0</v>
      </c>
      <c r="F3" s="2"/>
      <c r="G3" s="2"/>
      <c r="H3" s="2"/>
    </row>
    <row r="4" spans="1:8" ht="16.8" thickTop="1" thickBot="1" x14ac:dyDescent="0.35">
      <c r="A4" s="39" t="s">
        <v>6</v>
      </c>
      <c r="B4" s="32" t="s">
        <v>7</v>
      </c>
      <c r="C4" s="36"/>
      <c r="D4" s="102"/>
      <c r="E4" s="38">
        <f>(C5/100)*C4</f>
        <v>0</v>
      </c>
      <c r="F4" s="2"/>
      <c r="G4" s="2"/>
      <c r="H4" s="2"/>
    </row>
    <row r="5" spans="1:8" ht="17.399999999999999" thickTop="1" thickBot="1" x14ac:dyDescent="0.35">
      <c r="A5" s="32"/>
      <c r="B5" s="32" t="s">
        <v>48</v>
      </c>
      <c r="C5" s="36"/>
      <c r="D5" s="102"/>
      <c r="E5" s="40"/>
      <c r="F5" s="2"/>
      <c r="G5" s="2"/>
      <c r="H5" s="2"/>
    </row>
    <row r="6" spans="1:8" ht="15" thickTop="1" x14ac:dyDescent="0.3">
      <c r="A6" s="64"/>
      <c r="B6" s="65" t="s">
        <v>314</v>
      </c>
      <c r="C6" s="66"/>
      <c r="D6" s="64"/>
      <c r="E6" s="66"/>
    </row>
    <row r="9" spans="1:8" x14ac:dyDescent="0.3">
      <c r="B9" t="s">
        <v>9</v>
      </c>
      <c r="C9" s="1" t="s">
        <v>10</v>
      </c>
      <c r="E9"/>
    </row>
    <row r="10" spans="1:8" x14ac:dyDescent="0.3">
      <c r="B10" s="53" t="s">
        <v>136</v>
      </c>
      <c r="C10" s="5">
        <v>286.60000000000002</v>
      </c>
      <c r="E10"/>
    </row>
    <row r="11" spans="1:8" ht="17.25" customHeight="1" x14ac:dyDescent="0.3">
      <c r="B11" s="53" t="s">
        <v>137</v>
      </c>
      <c r="C11" s="5">
        <v>197.9</v>
      </c>
      <c r="E11"/>
    </row>
    <row r="12" spans="1:8" x14ac:dyDescent="0.3">
      <c r="B12" s="53" t="s">
        <v>138</v>
      </c>
      <c r="C12" s="5">
        <v>245.09</v>
      </c>
      <c r="E12"/>
    </row>
    <row r="13" spans="1:8" x14ac:dyDescent="0.3">
      <c r="B13" s="53" t="s">
        <v>139</v>
      </c>
      <c r="C13" s="5">
        <v>179</v>
      </c>
      <c r="E13"/>
    </row>
    <row r="14" spans="1:8" x14ac:dyDescent="0.3">
      <c r="B14" s="53" t="s">
        <v>140</v>
      </c>
      <c r="C14" s="5">
        <v>169</v>
      </c>
      <c r="E14"/>
    </row>
    <row r="15" spans="1:8" x14ac:dyDescent="0.3">
      <c r="C15" s="6"/>
    </row>
  </sheetData>
  <mergeCells count="1">
    <mergeCell ref="D3:D5"/>
  </mergeCells>
  <dataValidations count="1">
    <dataValidation type="list" allowBlank="1" showInputMessage="1" showErrorMessage="1" sqref="C1" xr:uid="{00000000-0002-0000-1A00-000000000000}">
      <formula1>$B$10:$B$14</formula1>
    </dataValidation>
  </dataValidations>
  <hyperlinks>
    <hyperlink ref="B6" location="'1'!A1" display="'1'!A1" xr:uid="{00000000-0004-0000-1A00-000000000000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12"/>
  <sheetViews>
    <sheetView workbookViewId="0">
      <selection activeCell="A6" sqref="A6:E6"/>
    </sheetView>
  </sheetViews>
  <sheetFormatPr defaultRowHeight="14.4" x14ac:dyDescent="0.3"/>
  <cols>
    <col min="1" max="1" width="3.44140625" customWidth="1"/>
    <col min="2" max="2" width="22.5546875" customWidth="1"/>
    <col min="3" max="3" width="34.5546875" style="1" customWidth="1"/>
    <col min="4" max="4" width="20.88671875" customWidth="1"/>
    <col min="5" max="5" width="8.88671875" style="1" customWidth="1"/>
    <col min="6" max="6" width="4.6640625" customWidth="1"/>
    <col min="8" max="8" width="10.88671875" bestFit="1" customWidth="1"/>
  </cols>
  <sheetData>
    <row r="1" spans="1:8" ht="15.6" x14ac:dyDescent="0.3">
      <c r="A1" s="32"/>
      <c r="B1" s="33" t="s">
        <v>0</v>
      </c>
      <c r="C1" s="34" t="s">
        <v>141</v>
      </c>
      <c r="D1" s="33" t="s">
        <v>2</v>
      </c>
      <c r="E1" s="35">
        <f>IF(ISBLANK(C3),E4,E3)</f>
        <v>0</v>
      </c>
      <c r="H1" s="2"/>
    </row>
    <row r="2" spans="1:8" ht="15" thickBot="1" x14ac:dyDescent="0.35">
      <c r="A2" s="32"/>
      <c r="B2" s="32" t="s">
        <v>3</v>
      </c>
      <c r="C2" s="34">
        <f>VLOOKUP(C1,Table124[],2,0)</f>
        <v>271.5</v>
      </c>
      <c r="D2" s="32"/>
      <c r="E2" s="32"/>
    </row>
    <row r="3" spans="1:8" ht="16.8" thickTop="1" thickBot="1" x14ac:dyDescent="0.35">
      <c r="A3" s="32"/>
      <c r="B3" s="32" t="s">
        <v>4</v>
      </c>
      <c r="C3" s="36"/>
      <c r="D3" s="102" t="s">
        <v>47</v>
      </c>
      <c r="E3" s="38">
        <f>C2*C3*(C5/1000)</f>
        <v>0</v>
      </c>
      <c r="F3" s="2"/>
      <c r="G3" s="2"/>
      <c r="H3" s="2"/>
    </row>
    <row r="4" spans="1:8" ht="16.8" thickTop="1" thickBot="1" x14ac:dyDescent="0.35">
      <c r="A4" s="39" t="s">
        <v>6</v>
      </c>
      <c r="B4" s="32" t="s">
        <v>7</v>
      </c>
      <c r="C4" s="36"/>
      <c r="D4" s="102"/>
      <c r="E4" s="38">
        <f>(C5/100)*C4</f>
        <v>0</v>
      </c>
      <c r="F4" s="2"/>
      <c r="G4" s="2"/>
      <c r="H4" s="2"/>
    </row>
    <row r="5" spans="1:8" ht="17.399999999999999" thickTop="1" thickBot="1" x14ac:dyDescent="0.35">
      <c r="A5" s="32"/>
      <c r="B5" s="32" t="s">
        <v>48</v>
      </c>
      <c r="C5" s="36"/>
      <c r="D5" s="102"/>
      <c r="E5" s="40"/>
      <c r="F5" s="2"/>
      <c r="G5" s="2"/>
      <c r="H5" s="2"/>
    </row>
    <row r="6" spans="1:8" ht="15" thickTop="1" x14ac:dyDescent="0.3">
      <c r="A6" s="64"/>
      <c r="B6" s="65" t="s">
        <v>314</v>
      </c>
      <c r="C6" s="66"/>
      <c r="D6" s="64"/>
      <c r="E6" s="66"/>
    </row>
    <row r="9" spans="1:8" x14ac:dyDescent="0.3">
      <c r="B9" t="s">
        <v>9</v>
      </c>
      <c r="C9" s="1" t="s">
        <v>10</v>
      </c>
      <c r="E9"/>
    </row>
    <row r="10" spans="1:8" x14ac:dyDescent="0.3">
      <c r="B10" s="61" t="s">
        <v>141</v>
      </c>
      <c r="C10" s="5">
        <v>271.5</v>
      </c>
      <c r="E10"/>
    </row>
    <row r="11" spans="1:8" ht="17.25" customHeight="1" x14ac:dyDescent="0.3">
      <c r="B11" s="61" t="s">
        <v>142</v>
      </c>
      <c r="C11" s="5">
        <v>324.7</v>
      </c>
      <c r="E11"/>
    </row>
    <row r="12" spans="1:8" x14ac:dyDescent="0.3">
      <c r="C12" s="6"/>
    </row>
  </sheetData>
  <mergeCells count="1">
    <mergeCell ref="D3:D5"/>
  </mergeCells>
  <dataValidations count="1">
    <dataValidation type="list" allowBlank="1" showInputMessage="1" showErrorMessage="1" sqref="C1" xr:uid="{00000000-0002-0000-1B00-000000000000}">
      <formula1>$B$10:$B$11</formula1>
    </dataValidation>
  </dataValidations>
  <hyperlinks>
    <hyperlink ref="B6" location="'1'!A1" display="'1'!A1" xr:uid="{00000000-0004-0000-1B00-000000000000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10"/>
  <sheetViews>
    <sheetView workbookViewId="0">
      <selection activeCell="A6" sqref="A6:E6"/>
    </sheetView>
  </sheetViews>
  <sheetFormatPr defaultRowHeight="14.4" x14ac:dyDescent="0.3"/>
  <cols>
    <col min="1" max="1" width="5.5546875" customWidth="1"/>
    <col min="2" max="2" width="23.33203125" customWidth="1"/>
    <col min="3" max="3" width="29.44140625" style="1" customWidth="1"/>
    <col min="4" max="4" width="23.88671875" customWidth="1"/>
    <col min="5" max="5" width="12.44140625" style="1" customWidth="1"/>
    <col min="6" max="6" width="4.6640625" customWidth="1"/>
    <col min="8" max="8" width="10.88671875" bestFit="1" customWidth="1"/>
  </cols>
  <sheetData>
    <row r="1" spans="1:8" ht="15.6" x14ac:dyDescent="0.3">
      <c r="A1" s="32"/>
      <c r="B1" s="54" t="s">
        <v>96</v>
      </c>
      <c r="C1" s="55" t="s">
        <v>143</v>
      </c>
      <c r="D1" s="33" t="s">
        <v>2</v>
      </c>
      <c r="E1" s="35">
        <f>IF(ISBLANK(C3),E4,E3)</f>
        <v>0</v>
      </c>
      <c r="H1" s="2"/>
    </row>
    <row r="2" spans="1:8" ht="16.8" thickBot="1" x14ac:dyDescent="0.35">
      <c r="A2" s="32"/>
      <c r="B2" s="56" t="s">
        <v>3</v>
      </c>
      <c r="C2" s="55">
        <v>46</v>
      </c>
      <c r="D2" s="33" t="s">
        <v>100</v>
      </c>
      <c r="E2" s="35">
        <f>E1*1.22</f>
        <v>0</v>
      </c>
    </row>
    <row r="3" spans="1:8" ht="16.8" thickTop="1" thickBot="1" x14ac:dyDescent="0.35">
      <c r="A3" s="32"/>
      <c r="B3" s="32" t="s">
        <v>4</v>
      </c>
      <c r="C3" s="36"/>
      <c r="D3" s="102" t="s">
        <v>47</v>
      </c>
      <c r="E3" s="38">
        <f>C2*C3*(C5/1000)</f>
        <v>0</v>
      </c>
      <c r="F3" s="2"/>
      <c r="G3" s="2"/>
      <c r="H3" s="2"/>
    </row>
    <row r="4" spans="1:8" ht="16.8" thickTop="1" thickBot="1" x14ac:dyDescent="0.35">
      <c r="A4" s="39" t="s">
        <v>6</v>
      </c>
      <c r="B4" s="32" t="s">
        <v>7</v>
      </c>
      <c r="C4" s="36"/>
      <c r="D4" s="102"/>
      <c r="E4" s="38">
        <f>(C5/100)*C4</f>
        <v>0</v>
      </c>
      <c r="F4" s="2"/>
      <c r="G4" s="2"/>
      <c r="H4" s="2"/>
    </row>
    <row r="5" spans="1:8" ht="17.399999999999999" thickTop="1" thickBot="1" x14ac:dyDescent="0.35">
      <c r="A5" s="32"/>
      <c r="B5" s="32" t="s">
        <v>48</v>
      </c>
      <c r="C5" s="36"/>
      <c r="D5" s="102"/>
      <c r="E5" s="40"/>
      <c r="F5" s="2"/>
      <c r="G5" s="2"/>
      <c r="H5" s="2"/>
    </row>
    <row r="6" spans="1:8" ht="15" thickTop="1" x14ac:dyDescent="0.3">
      <c r="A6" s="64"/>
      <c r="B6" s="65" t="s">
        <v>314</v>
      </c>
      <c r="C6" s="66"/>
      <c r="D6" s="64"/>
      <c r="E6" s="66"/>
    </row>
    <row r="9" spans="1:8" x14ac:dyDescent="0.3">
      <c r="C9" s="6"/>
    </row>
    <row r="10" spans="1:8" x14ac:dyDescent="0.3">
      <c r="C10" s="6"/>
    </row>
  </sheetData>
  <mergeCells count="1">
    <mergeCell ref="D3:D5"/>
  </mergeCells>
  <hyperlinks>
    <hyperlink ref="B6" location="'1'!A1" display="'1'!A1" xr:uid="{00000000-0004-0000-1C00-000000000000}"/>
  </hyperlink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10"/>
  <sheetViews>
    <sheetView workbookViewId="0">
      <selection activeCell="A6" sqref="A6:E6"/>
    </sheetView>
  </sheetViews>
  <sheetFormatPr defaultRowHeight="14.4" x14ac:dyDescent="0.3"/>
  <cols>
    <col min="1" max="1" width="5.5546875" customWidth="1"/>
    <col min="2" max="2" width="23.33203125" customWidth="1"/>
    <col min="3" max="3" width="29.44140625" style="1" customWidth="1"/>
    <col min="4" max="4" width="23.88671875" customWidth="1"/>
    <col min="5" max="5" width="12.44140625" style="1" customWidth="1"/>
    <col min="6" max="6" width="4.6640625" customWidth="1"/>
    <col min="8" max="8" width="10.88671875" bestFit="1" customWidth="1"/>
  </cols>
  <sheetData>
    <row r="1" spans="1:8" ht="15.6" x14ac:dyDescent="0.3">
      <c r="A1" s="32"/>
      <c r="B1" s="54" t="s">
        <v>96</v>
      </c>
      <c r="C1" s="55" t="s">
        <v>144</v>
      </c>
      <c r="D1" s="33" t="s">
        <v>2</v>
      </c>
      <c r="E1" s="35">
        <f>IF(ISBLANK(C3),E4,E3)</f>
        <v>0</v>
      </c>
      <c r="H1" s="2"/>
    </row>
    <row r="2" spans="1:8" ht="16.8" thickBot="1" x14ac:dyDescent="0.35">
      <c r="A2" s="32"/>
      <c r="B2" s="56" t="s">
        <v>3</v>
      </c>
      <c r="C2" s="55">
        <v>32.04</v>
      </c>
      <c r="D2" s="33" t="s">
        <v>100</v>
      </c>
      <c r="E2" s="35">
        <f>E1/0.792</f>
        <v>0</v>
      </c>
    </row>
    <row r="3" spans="1:8" ht="16.8" thickTop="1" thickBot="1" x14ac:dyDescent="0.35">
      <c r="A3" s="32"/>
      <c r="B3" s="32" t="s">
        <v>4</v>
      </c>
      <c r="C3" s="36"/>
      <c r="D3" s="102" t="s">
        <v>47</v>
      </c>
      <c r="E3" s="38">
        <f>C2*C3*(C5/1000)</f>
        <v>0</v>
      </c>
      <c r="F3" s="2"/>
      <c r="G3" s="2"/>
      <c r="H3" s="2"/>
    </row>
    <row r="4" spans="1:8" ht="16.8" thickTop="1" thickBot="1" x14ac:dyDescent="0.35">
      <c r="A4" s="39" t="s">
        <v>6</v>
      </c>
      <c r="B4" s="32" t="s">
        <v>7</v>
      </c>
      <c r="C4" s="36"/>
      <c r="D4" s="102"/>
      <c r="E4" s="38">
        <f>(C5/100)*C4</f>
        <v>0</v>
      </c>
      <c r="F4" s="2"/>
      <c r="G4" s="2"/>
      <c r="H4" s="2"/>
    </row>
    <row r="5" spans="1:8" ht="17.399999999999999" thickTop="1" thickBot="1" x14ac:dyDescent="0.35">
      <c r="A5" s="32"/>
      <c r="B5" s="32" t="s">
        <v>48</v>
      </c>
      <c r="C5" s="36"/>
      <c r="D5" s="102"/>
      <c r="E5" s="40"/>
      <c r="F5" s="2"/>
      <c r="G5" s="2"/>
      <c r="H5" s="2"/>
    </row>
    <row r="6" spans="1:8" ht="15" thickTop="1" x14ac:dyDescent="0.3">
      <c r="A6" s="64"/>
      <c r="B6" s="65" t="s">
        <v>314</v>
      </c>
      <c r="C6" s="66"/>
      <c r="D6" s="64"/>
      <c r="E6" s="66"/>
    </row>
    <row r="9" spans="1:8" x14ac:dyDescent="0.3">
      <c r="C9" s="6"/>
    </row>
    <row r="10" spans="1:8" x14ac:dyDescent="0.3">
      <c r="C10" s="6"/>
    </row>
  </sheetData>
  <mergeCells count="1">
    <mergeCell ref="D3:D5"/>
  </mergeCells>
  <hyperlinks>
    <hyperlink ref="B6" location="'1'!A1" display="'1'!A1" xr:uid="{00000000-0004-0000-1D00-000000000000}"/>
  </hyperlink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10"/>
  <sheetViews>
    <sheetView workbookViewId="0">
      <selection activeCell="A6" sqref="A6:E6"/>
    </sheetView>
  </sheetViews>
  <sheetFormatPr defaultRowHeight="14.4" x14ac:dyDescent="0.3"/>
  <cols>
    <col min="1" max="1" width="5.5546875" customWidth="1"/>
    <col min="2" max="2" width="23.33203125" customWidth="1"/>
    <col min="3" max="3" width="29.44140625" style="1" customWidth="1"/>
    <col min="4" max="4" width="23.88671875" customWidth="1"/>
    <col min="5" max="5" width="12.44140625" style="1" customWidth="1"/>
    <col min="6" max="6" width="4.6640625" customWidth="1"/>
    <col min="8" max="8" width="10.88671875" bestFit="1" customWidth="1"/>
  </cols>
  <sheetData>
    <row r="1" spans="1:8" ht="15.6" x14ac:dyDescent="0.3">
      <c r="A1" s="32"/>
      <c r="B1" s="54" t="s">
        <v>96</v>
      </c>
      <c r="C1" s="55" t="s">
        <v>145</v>
      </c>
      <c r="D1" s="33" t="s">
        <v>2</v>
      </c>
      <c r="E1" s="35">
        <f>IF(ISBLANK(C3),E4,E3)</f>
        <v>0</v>
      </c>
      <c r="H1" s="2"/>
    </row>
    <row r="2" spans="1:8" ht="15" thickBot="1" x14ac:dyDescent="0.35">
      <c r="A2" s="32"/>
      <c r="B2" s="56" t="s">
        <v>3</v>
      </c>
      <c r="C2" s="55">
        <v>144.19999999999999</v>
      </c>
      <c r="D2" s="33"/>
      <c r="E2" s="35"/>
    </row>
    <row r="3" spans="1:8" ht="16.8" thickTop="1" thickBot="1" x14ac:dyDescent="0.35">
      <c r="A3" s="32"/>
      <c r="B3" s="32" t="s">
        <v>4</v>
      </c>
      <c r="C3" s="36"/>
      <c r="D3" s="102" t="s">
        <v>47</v>
      </c>
      <c r="E3" s="38">
        <f>C2*C3*(C5/1000)</f>
        <v>0</v>
      </c>
      <c r="F3" s="2"/>
      <c r="G3" s="2"/>
      <c r="H3" s="2"/>
    </row>
    <row r="4" spans="1:8" ht="16.8" thickTop="1" thickBot="1" x14ac:dyDescent="0.35">
      <c r="A4" s="39" t="s">
        <v>6</v>
      </c>
      <c r="B4" s="32" t="s">
        <v>7</v>
      </c>
      <c r="C4" s="36"/>
      <c r="D4" s="102"/>
      <c r="E4" s="38">
        <f>(C5/100)*C4</f>
        <v>0</v>
      </c>
      <c r="F4" s="2"/>
      <c r="G4" s="2"/>
      <c r="H4" s="2"/>
    </row>
    <row r="5" spans="1:8" ht="17.399999999999999" thickTop="1" thickBot="1" x14ac:dyDescent="0.35">
      <c r="A5" s="32"/>
      <c r="B5" s="32" t="s">
        <v>48</v>
      </c>
      <c r="C5" s="36"/>
      <c r="D5" s="102"/>
      <c r="E5" s="40"/>
      <c r="F5" s="2"/>
      <c r="G5" s="2"/>
      <c r="H5" s="2"/>
    </row>
    <row r="6" spans="1:8" ht="15" thickTop="1" x14ac:dyDescent="0.3">
      <c r="A6" s="64"/>
      <c r="B6" s="65" t="s">
        <v>314</v>
      </c>
      <c r="C6" s="66"/>
      <c r="D6" s="64"/>
      <c r="E6" s="66"/>
    </row>
    <row r="9" spans="1:8" x14ac:dyDescent="0.3">
      <c r="C9" s="6"/>
    </row>
    <row r="10" spans="1:8" x14ac:dyDescent="0.3">
      <c r="C10" s="6"/>
    </row>
  </sheetData>
  <mergeCells count="1">
    <mergeCell ref="D3:D5"/>
  </mergeCells>
  <hyperlinks>
    <hyperlink ref="B6" location="'1'!A1" display="'1'!A1" xr:uid="{00000000-0004-0000-1E00-000000000000}"/>
  </hyperlink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15"/>
  <sheetViews>
    <sheetView workbookViewId="0">
      <selection activeCell="D33" sqref="D33"/>
    </sheetView>
  </sheetViews>
  <sheetFormatPr defaultRowHeight="14.4" x14ac:dyDescent="0.3"/>
  <cols>
    <col min="1" max="1" width="3.44140625" customWidth="1"/>
    <col min="2" max="2" width="22.5546875" customWidth="1"/>
    <col min="3" max="3" width="43.88671875" style="1" customWidth="1"/>
    <col min="4" max="4" width="20.88671875" customWidth="1"/>
    <col min="5" max="5" width="8.88671875" style="1" customWidth="1"/>
    <col min="6" max="6" width="4.6640625" customWidth="1"/>
    <col min="8" max="8" width="10.88671875" bestFit="1" customWidth="1"/>
  </cols>
  <sheetData>
    <row r="1" spans="1:8" ht="15.6" x14ac:dyDescent="0.3">
      <c r="A1" s="32"/>
      <c r="B1" s="33" t="s">
        <v>0</v>
      </c>
      <c r="C1" s="34" t="s">
        <v>146</v>
      </c>
      <c r="D1" s="33" t="s">
        <v>2</v>
      </c>
      <c r="E1" s="35">
        <f>IF(ISBLANK(C3),E4,E3)</f>
        <v>0</v>
      </c>
      <c r="H1" s="2"/>
    </row>
    <row r="2" spans="1:8" ht="15" thickBot="1" x14ac:dyDescent="0.35">
      <c r="A2" s="32"/>
      <c r="B2" s="32" t="s">
        <v>3</v>
      </c>
      <c r="C2" s="34">
        <f>VLOOKUP(C1,Table125[],2,0)</f>
        <v>349.9</v>
      </c>
      <c r="D2" s="32"/>
      <c r="E2" s="32"/>
    </row>
    <row r="3" spans="1:8" ht="16.8" thickTop="1" thickBot="1" x14ac:dyDescent="0.35">
      <c r="A3" s="32"/>
      <c r="B3" s="32" t="s">
        <v>4</v>
      </c>
      <c r="C3" s="36"/>
      <c r="D3" s="102" t="s">
        <v>47</v>
      </c>
      <c r="E3" s="38">
        <f>C2*C3*(C5/1000)</f>
        <v>0</v>
      </c>
      <c r="F3" s="2"/>
      <c r="G3" s="2"/>
      <c r="H3" s="2"/>
    </row>
    <row r="4" spans="1:8" ht="16.8" thickTop="1" thickBot="1" x14ac:dyDescent="0.35">
      <c r="A4" s="39" t="s">
        <v>6</v>
      </c>
      <c r="B4" s="32" t="s">
        <v>7</v>
      </c>
      <c r="C4" s="36"/>
      <c r="D4" s="102"/>
      <c r="E4" s="38">
        <f>(C5/100)*C4</f>
        <v>0</v>
      </c>
      <c r="F4" s="2"/>
      <c r="G4" s="2"/>
      <c r="H4" s="2"/>
    </row>
    <row r="5" spans="1:8" ht="17.399999999999999" thickTop="1" thickBot="1" x14ac:dyDescent="0.35">
      <c r="A5" s="32"/>
      <c r="B5" s="32" t="s">
        <v>48</v>
      </c>
      <c r="C5" s="36"/>
      <c r="D5" s="102"/>
      <c r="E5" s="40"/>
      <c r="F5" s="2"/>
      <c r="G5" s="2"/>
      <c r="H5" s="2"/>
    </row>
    <row r="6" spans="1:8" ht="15" thickTop="1" x14ac:dyDescent="0.3"/>
    <row r="9" spans="1:8" x14ac:dyDescent="0.3">
      <c r="B9" t="s">
        <v>9</v>
      </c>
      <c r="C9" s="1" t="s">
        <v>10</v>
      </c>
      <c r="E9"/>
    </row>
    <row r="10" spans="1:8" x14ac:dyDescent="0.3">
      <c r="B10" s="53" t="s">
        <v>146</v>
      </c>
      <c r="C10" s="5">
        <v>349.9</v>
      </c>
      <c r="E10"/>
    </row>
    <row r="11" spans="1:8" ht="17.25" customHeight="1" x14ac:dyDescent="0.3">
      <c r="B11" s="53" t="s">
        <v>147</v>
      </c>
      <c r="C11" s="5">
        <v>218.5</v>
      </c>
      <c r="E11"/>
    </row>
    <row r="12" spans="1:8" x14ac:dyDescent="0.3">
      <c r="B12" s="53" t="s">
        <v>148</v>
      </c>
      <c r="C12" s="5">
        <v>237.7</v>
      </c>
      <c r="E12"/>
    </row>
    <row r="13" spans="1:8" x14ac:dyDescent="0.3">
      <c r="B13" s="3" t="s">
        <v>149</v>
      </c>
      <c r="C13" s="5">
        <v>290.8</v>
      </c>
      <c r="E13"/>
    </row>
    <row r="14" spans="1:8" x14ac:dyDescent="0.3">
      <c r="B14" s="3" t="s">
        <v>150</v>
      </c>
      <c r="C14" s="5">
        <v>280.89999999999998</v>
      </c>
      <c r="E14"/>
    </row>
    <row r="15" spans="1:8" x14ac:dyDescent="0.3">
      <c r="C15" s="6"/>
    </row>
  </sheetData>
  <mergeCells count="1">
    <mergeCell ref="D3:D5"/>
  </mergeCells>
  <dataValidations count="1">
    <dataValidation type="list" allowBlank="1" showInputMessage="1" showErrorMessage="1" sqref="C1" xr:uid="{00000000-0002-0000-1F00-000000000000}">
      <formula1>$B$10:$B$14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17"/>
  <sheetViews>
    <sheetView workbookViewId="0">
      <selection activeCell="G5" sqref="G5"/>
    </sheetView>
  </sheetViews>
  <sheetFormatPr defaultRowHeight="14.4" x14ac:dyDescent="0.3"/>
  <cols>
    <col min="1" max="1" width="3.44140625" customWidth="1"/>
    <col min="2" max="2" width="22.5546875" customWidth="1"/>
    <col min="3" max="3" width="30.33203125" style="1" customWidth="1"/>
    <col min="4" max="4" width="20.88671875" customWidth="1"/>
    <col min="5" max="5" width="8.88671875" style="1" customWidth="1"/>
    <col min="6" max="6" width="4.6640625" customWidth="1"/>
    <col min="8" max="8" width="10.88671875" bestFit="1" customWidth="1"/>
  </cols>
  <sheetData>
    <row r="1" spans="1:8" ht="15.6" x14ac:dyDescent="0.3">
      <c r="A1" s="32"/>
      <c r="B1" s="33" t="s">
        <v>0</v>
      </c>
      <c r="C1" s="34" t="s">
        <v>153</v>
      </c>
      <c r="D1" s="33" t="s">
        <v>2</v>
      </c>
      <c r="E1" s="35">
        <f>IF(ISBLANK(C3),E4,E3)</f>
        <v>0</v>
      </c>
      <c r="H1" s="2"/>
    </row>
    <row r="2" spans="1:8" ht="15" thickBot="1" x14ac:dyDescent="0.35">
      <c r="A2" s="32"/>
      <c r="B2" s="32" t="s">
        <v>3</v>
      </c>
      <c r="C2" s="34">
        <f>VLOOKUP(C1,Table126[],2,0)</f>
        <v>101.1</v>
      </c>
      <c r="D2" s="32"/>
      <c r="E2" s="32"/>
    </row>
    <row r="3" spans="1:8" ht="16.8" thickTop="1" thickBot="1" x14ac:dyDescent="0.35">
      <c r="A3" s="32"/>
      <c r="B3" s="32" t="s">
        <v>4</v>
      </c>
      <c r="C3" s="36"/>
      <c r="D3" s="102" t="s">
        <v>47</v>
      </c>
      <c r="E3" s="38">
        <f>C2*C3*(C5/1000)</f>
        <v>0</v>
      </c>
      <c r="F3" s="2"/>
      <c r="G3" s="2"/>
      <c r="H3" s="2"/>
    </row>
    <row r="4" spans="1:8" ht="16.8" thickTop="1" thickBot="1" x14ac:dyDescent="0.35">
      <c r="A4" s="39" t="s">
        <v>6</v>
      </c>
      <c r="B4" s="32" t="s">
        <v>7</v>
      </c>
      <c r="C4" s="36"/>
      <c r="D4" s="102"/>
      <c r="E4" s="38">
        <f>(C5/100)*C4</f>
        <v>0</v>
      </c>
      <c r="F4" s="2"/>
      <c r="G4" s="2"/>
      <c r="H4" s="2"/>
    </row>
    <row r="5" spans="1:8" ht="17.399999999999999" thickTop="1" thickBot="1" x14ac:dyDescent="0.35">
      <c r="A5" s="32"/>
      <c r="B5" s="32" t="s">
        <v>48</v>
      </c>
      <c r="C5" s="36"/>
      <c r="D5" s="102"/>
      <c r="E5" s="40"/>
      <c r="F5" s="2"/>
      <c r="G5" s="2"/>
      <c r="H5" s="2"/>
    </row>
    <row r="6" spans="1:8" ht="15" thickTop="1" x14ac:dyDescent="0.3">
      <c r="A6" s="64"/>
      <c r="B6" s="65" t="s">
        <v>314</v>
      </c>
      <c r="C6" s="66"/>
      <c r="D6" s="64"/>
      <c r="E6" s="66"/>
    </row>
    <row r="9" spans="1:8" x14ac:dyDescent="0.3">
      <c r="B9" t="s">
        <v>9</v>
      </c>
      <c r="C9" s="1" t="s">
        <v>10</v>
      </c>
      <c r="E9"/>
    </row>
    <row r="10" spans="1:8" x14ac:dyDescent="0.3">
      <c r="B10" s="53" t="s">
        <v>151</v>
      </c>
      <c r="C10" s="5">
        <v>80.099999999999994</v>
      </c>
      <c r="E10"/>
    </row>
    <row r="11" spans="1:8" ht="17.25" customHeight="1" x14ac:dyDescent="0.3">
      <c r="B11" s="53" t="s">
        <v>46</v>
      </c>
      <c r="C11" s="5">
        <v>261.3</v>
      </c>
      <c r="E11"/>
    </row>
    <row r="12" spans="1:8" x14ac:dyDescent="0.3">
      <c r="B12" s="53" t="s">
        <v>152</v>
      </c>
      <c r="C12" s="5">
        <v>236.2</v>
      </c>
      <c r="E12"/>
    </row>
    <row r="13" spans="1:8" x14ac:dyDescent="0.3">
      <c r="B13" s="53" t="s">
        <v>134</v>
      </c>
      <c r="C13" s="5">
        <v>256.39999999999998</v>
      </c>
      <c r="E13"/>
    </row>
    <row r="14" spans="1:8" x14ac:dyDescent="0.3">
      <c r="B14" s="3" t="s">
        <v>153</v>
      </c>
      <c r="C14" s="5">
        <v>101.1</v>
      </c>
      <c r="E14"/>
    </row>
    <row r="15" spans="1:8" x14ac:dyDescent="0.3">
      <c r="B15" s="3" t="s">
        <v>154</v>
      </c>
      <c r="C15" s="5">
        <v>169.9</v>
      </c>
      <c r="E15"/>
    </row>
    <row r="16" spans="1:8" x14ac:dyDescent="0.3">
      <c r="B16" s="53" t="s">
        <v>155</v>
      </c>
      <c r="C16" s="5">
        <v>85</v>
      </c>
      <c r="E16"/>
    </row>
    <row r="17" spans="3:3" x14ac:dyDescent="0.3">
      <c r="C17" s="6"/>
    </row>
  </sheetData>
  <mergeCells count="1">
    <mergeCell ref="D3:D5"/>
  </mergeCells>
  <dataValidations count="1">
    <dataValidation type="list" allowBlank="1" showInputMessage="1" showErrorMessage="1" sqref="C1" xr:uid="{00000000-0002-0000-2000-000000000000}">
      <formula1>$B$10:$B$16</formula1>
    </dataValidation>
  </dataValidations>
  <hyperlinks>
    <hyperlink ref="B6" location="'1'!A1" display="'1'!A1" xr:uid="{00000000-0004-0000-2000-000000000000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E12"/>
  <sheetViews>
    <sheetView workbookViewId="0">
      <selection activeCell="A6" sqref="A6:E6"/>
    </sheetView>
  </sheetViews>
  <sheetFormatPr defaultRowHeight="14.4" x14ac:dyDescent="0.3"/>
  <cols>
    <col min="1" max="1" width="3.44140625" customWidth="1"/>
    <col min="2" max="2" width="22.5546875" customWidth="1"/>
    <col min="3" max="3" width="21.44140625" customWidth="1"/>
    <col min="4" max="4" width="25.88671875" customWidth="1"/>
    <col min="5" max="5" width="11.44140625" customWidth="1"/>
    <col min="6" max="6" width="6.5546875" customWidth="1"/>
  </cols>
  <sheetData>
    <row r="1" spans="1:5" ht="16.2" x14ac:dyDescent="0.3">
      <c r="A1" s="32"/>
      <c r="B1" s="32" t="s">
        <v>16</v>
      </c>
      <c r="C1" s="34" t="s">
        <v>156</v>
      </c>
      <c r="D1" s="33" t="s">
        <v>100</v>
      </c>
      <c r="E1" s="57">
        <f>IF(ISBLANK(C3),E4,E3)</f>
        <v>0</v>
      </c>
    </row>
    <row r="2" spans="1:5" ht="15" thickBot="1" x14ac:dyDescent="0.35">
      <c r="A2" s="32"/>
      <c r="B2" s="32" t="s">
        <v>19</v>
      </c>
      <c r="C2" s="34">
        <f>VLOOKUP(C1,Table127[[Original Conc]:[Conc]],2,0)</f>
        <v>15.8</v>
      </c>
      <c r="D2" s="32" t="s">
        <v>157</v>
      </c>
      <c r="E2" s="57">
        <f>IF(C1="conc 70%",(E1*1.51),IF(C1="2M",(E1*1.07),(E1*1.032)))</f>
        <v>0</v>
      </c>
    </row>
    <row r="3" spans="1:5" ht="15.6" thickTop="1" thickBot="1" x14ac:dyDescent="0.35">
      <c r="A3" s="32"/>
      <c r="B3" s="32" t="s">
        <v>4</v>
      </c>
      <c r="C3" s="36"/>
      <c r="D3" s="102" t="s">
        <v>47</v>
      </c>
      <c r="E3" s="38">
        <f>(C3/C2)*C5</f>
        <v>0</v>
      </c>
    </row>
    <row r="4" spans="1:5" ht="15.6" thickTop="1" thickBot="1" x14ac:dyDescent="0.35">
      <c r="A4" s="39" t="s">
        <v>6</v>
      </c>
      <c r="B4" s="32" t="s">
        <v>7</v>
      </c>
      <c r="C4" s="36"/>
      <c r="D4" s="102"/>
      <c r="E4" s="38">
        <f>C5*(C4/E5)</f>
        <v>0</v>
      </c>
    </row>
    <row r="5" spans="1:5" ht="17.399999999999999" thickTop="1" thickBot="1" x14ac:dyDescent="0.35">
      <c r="A5" s="32"/>
      <c r="B5" s="32" t="s">
        <v>48</v>
      </c>
      <c r="C5" s="36"/>
      <c r="D5" s="102"/>
      <c r="E5" s="58">
        <f>VLOOKUP(C1,Table127[],3,0)</f>
        <v>70</v>
      </c>
    </row>
    <row r="6" spans="1:5" ht="15" thickTop="1" x14ac:dyDescent="0.3">
      <c r="A6" s="64"/>
      <c r="B6" s="65" t="s">
        <v>314</v>
      </c>
      <c r="C6" s="66"/>
      <c r="D6" s="64"/>
      <c r="E6" s="66"/>
    </row>
    <row r="9" spans="1:5" x14ac:dyDescent="0.3">
      <c r="B9" s="24" t="s">
        <v>22</v>
      </c>
      <c r="C9" s="24" t="s">
        <v>23</v>
      </c>
      <c r="D9" s="24" t="s">
        <v>24</v>
      </c>
    </row>
    <row r="10" spans="1:5" x14ac:dyDescent="0.3">
      <c r="B10" s="25" t="s">
        <v>156</v>
      </c>
      <c r="C10" s="1">
        <v>15.8</v>
      </c>
      <c r="D10" s="26">
        <v>70</v>
      </c>
    </row>
    <row r="11" spans="1:5" x14ac:dyDescent="0.3">
      <c r="B11" s="1" t="s">
        <v>26</v>
      </c>
      <c r="C11" s="1">
        <v>2</v>
      </c>
      <c r="D11" s="26">
        <v>8.86</v>
      </c>
    </row>
    <row r="12" spans="1:5" x14ac:dyDescent="0.3">
      <c r="B12" s="25" t="s">
        <v>27</v>
      </c>
      <c r="C12" s="1">
        <v>1</v>
      </c>
      <c r="D12" s="26">
        <v>4.43</v>
      </c>
    </row>
  </sheetData>
  <mergeCells count="1">
    <mergeCell ref="D3:D5"/>
  </mergeCells>
  <dataValidations count="1">
    <dataValidation type="list" allowBlank="1" showInputMessage="1" showErrorMessage="1" sqref="C1" xr:uid="{00000000-0002-0000-2100-000000000000}">
      <formula1>$B$10:$B$12</formula1>
    </dataValidation>
  </dataValidations>
  <hyperlinks>
    <hyperlink ref="B6" location="'1'!A1" display="'1'!A1" xr:uid="{00000000-0004-0000-2100-000000000000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12"/>
  <sheetViews>
    <sheetView workbookViewId="0">
      <selection activeCell="A6" sqref="A6:E6"/>
    </sheetView>
  </sheetViews>
  <sheetFormatPr defaultRowHeight="14.4" x14ac:dyDescent="0.3"/>
  <cols>
    <col min="1" max="1" width="3.44140625" customWidth="1"/>
    <col min="2" max="2" width="22.5546875" customWidth="1"/>
    <col min="3" max="3" width="30.33203125" style="1" customWidth="1"/>
    <col min="4" max="4" width="20.88671875" customWidth="1"/>
    <col min="5" max="5" width="8.88671875" style="1" customWidth="1"/>
    <col min="6" max="6" width="4.6640625" customWidth="1"/>
    <col min="8" max="8" width="10.88671875" bestFit="1" customWidth="1"/>
  </cols>
  <sheetData>
    <row r="1" spans="1:8" ht="15.6" x14ac:dyDescent="0.3">
      <c r="A1" s="32"/>
      <c r="B1" s="33" t="s">
        <v>0</v>
      </c>
      <c r="C1" s="34" t="s">
        <v>158</v>
      </c>
      <c r="D1" s="33" t="s">
        <v>2</v>
      </c>
      <c r="E1" s="35">
        <f>IF(ISBLANK(C3),E4,E3)</f>
        <v>0</v>
      </c>
      <c r="H1" s="2"/>
    </row>
    <row r="2" spans="1:8" ht="15" thickBot="1" x14ac:dyDescent="0.35">
      <c r="A2" s="32"/>
      <c r="B2" s="32" t="s">
        <v>3</v>
      </c>
      <c r="C2" s="34">
        <f>VLOOKUP(C1,Table128[],2,0)</f>
        <v>69</v>
      </c>
      <c r="D2" s="32"/>
      <c r="E2" s="32"/>
    </row>
    <row r="3" spans="1:8" ht="16.8" thickTop="1" thickBot="1" x14ac:dyDescent="0.35">
      <c r="A3" s="32"/>
      <c r="B3" s="32" t="s">
        <v>4</v>
      </c>
      <c r="C3" s="36"/>
      <c r="D3" s="102" t="s">
        <v>47</v>
      </c>
      <c r="E3" s="38">
        <f>C2*C3*(C5/1000)</f>
        <v>0</v>
      </c>
      <c r="F3" s="2"/>
      <c r="G3" s="2"/>
      <c r="H3" s="2"/>
    </row>
    <row r="4" spans="1:8" ht="16.8" thickTop="1" thickBot="1" x14ac:dyDescent="0.35">
      <c r="A4" s="39" t="s">
        <v>6</v>
      </c>
      <c r="B4" s="32" t="s">
        <v>7</v>
      </c>
      <c r="C4" s="36"/>
      <c r="D4" s="102"/>
      <c r="E4" s="38">
        <f>(C5/100)*C4</f>
        <v>0</v>
      </c>
      <c r="F4" s="2"/>
      <c r="G4" s="2"/>
      <c r="H4" s="2"/>
    </row>
    <row r="5" spans="1:8" ht="17.399999999999999" thickTop="1" thickBot="1" x14ac:dyDescent="0.35">
      <c r="A5" s="32"/>
      <c r="B5" s="32" t="s">
        <v>48</v>
      </c>
      <c r="C5" s="36"/>
      <c r="D5" s="102"/>
      <c r="E5" s="40"/>
      <c r="F5" s="2"/>
      <c r="G5" s="2"/>
      <c r="H5" s="2"/>
    </row>
    <row r="6" spans="1:8" ht="15" thickTop="1" x14ac:dyDescent="0.3">
      <c r="A6" s="64"/>
      <c r="B6" s="65" t="s">
        <v>314</v>
      </c>
      <c r="C6" s="66"/>
      <c r="D6" s="64"/>
      <c r="E6" s="66"/>
    </row>
    <row r="9" spans="1:8" x14ac:dyDescent="0.3">
      <c r="B9" t="s">
        <v>9</v>
      </c>
      <c r="C9" s="1" t="s">
        <v>10</v>
      </c>
      <c r="E9"/>
    </row>
    <row r="10" spans="1:8" x14ac:dyDescent="0.3">
      <c r="B10" s="3" t="s">
        <v>158</v>
      </c>
      <c r="C10" s="5">
        <v>69</v>
      </c>
      <c r="E10"/>
    </row>
    <row r="11" spans="1:8" x14ac:dyDescent="0.3">
      <c r="B11" s="53" t="s">
        <v>159</v>
      </c>
      <c r="C11" s="5">
        <v>85.1</v>
      </c>
      <c r="E11"/>
    </row>
    <row r="12" spans="1:8" x14ac:dyDescent="0.3">
      <c r="C12" s="6"/>
    </row>
  </sheetData>
  <mergeCells count="1">
    <mergeCell ref="D3:D5"/>
  </mergeCells>
  <dataValidations count="1">
    <dataValidation type="list" allowBlank="1" showInputMessage="1" showErrorMessage="1" sqref="C1" xr:uid="{00000000-0002-0000-2200-000000000000}">
      <formula1>$B$10:$B$11</formula1>
    </dataValidation>
  </dataValidations>
  <hyperlinks>
    <hyperlink ref="B6" location="'1'!A1" display="'1'!A1" xr:uid="{00000000-0004-0000-2200-000000000000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H17"/>
  <sheetViews>
    <sheetView workbookViewId="0">
      <selection activeCell="A6" sqref="A6:E6"/>
    </sheetView>
  </sheetViews>
  <sheetFormatPr defaultRowHeight="14.4" x14ac:dyDescent="0.3"/>
  <cols>
    <col min="1" max="1" width="3.44140625" customWidth="1"/>
    <col min="2" max="2" width="22.5546875" customWidth="1"/>
    <col min="3" max="3" width="43.88671875" style="1" customWidth="1"/>
    <col min="4" max="4" width="20.88671875" customWidth="1"/>
    <col min="5" max="5" width="8.88671875" style="1" customWidth="1"/>
    <col min="6" max="6" width="4.6640625" customWidth="1"/>
    <col min="8" max="8" width="10.88671875" bestFit="1" customWidth="1"/>
  </cols>
  <sheetData>
    <row r="1" spans="1:8" ht="15.6" x14ac:dyDescent="0.3">
      <c r="A1" s="32"/>
      <c r="B1" s="33" t="s">
        <v>0</v>
      </c>
      <c r="C1" s="34" t="s">
        <v>160</v>
      </c>
      <c r="D1" s="33" t="s">
        <v>2</v>
      </c>
      <c r="E1" s="35">
        <f>IF(ISBLANK(C3),E4,E3)</f>
        <v>0</v>
      </c>
      <c r="H1" s="2"/>
    </row>
    <row r="2" spans="1:8" ht="15" thickBot="1" x14ac:dyDescent="0.35">
      <c r="A2" s="32"/>
      <c r="B2" s="32" t="s">
        <v>3</v>
      </c>
      <c r="C2" s="34">
        <f>VLOOKUP(C1,Table129[],2,0)</f>
        <v>116.16</v>
      </c>
      <c r="D2" s="32"/>
      <c r="E2" s="32"/>
    </row>
    <row r="3" spans="1:8" ht="16.8" thickTop="1" thickBot="1" x14ac:dyDescent="0.35">
      <c r="A3" s="32"/>
      <c r="B3" s="32" t="s">
        <v>4</v>
      </c>
      <c r="C3" s="36"/>
      <c r="D3" s="102" t="s">
        <v>47</v>
      </c>
      <c r="E3" s="38">
        <f>C2*C3*(C5/1000)</f>
        <v>0</v>
      </c>
      <c r="F3" s="2"/>
      <c r="G3" s="2"/>
      <c r="H3" s="2"/>
    </row>
    <row r="4" spans="1:8" ht="16.8" thickTop="1" thickBot="1" x14ac:dyDescent="0.35">
      <c r="A4" s="39" t="s">
        <v>6</v>
      </c>
      <c r="B4" s="32" t="s">
        <v>7</v>
      </c>
      <c r="C4" s="36"/>
      <c r="D4" s="102"/>
      <c r="E4" s="38">
        <f>(C5/100)*C4</f>
        <v>0</v>
      </c>
      <c r="F4" s="2"/>
      <c r="G4" s="2"/>
      <c r="H4" s="2"/>
    </row>
    <row r="5" spans="1:8" ht="17.399999999999999" thickTop="1" thickBot="1" x14ac:dyDescent="0.35">
      <c r="A5" s="32"/>
      <c r="B5" s="32" t="s">
        <v>48</v>
      </c>
      <c r="C5" s="36"/>
      <c r="D5" s="102"/>
      <c r="E5" s="40"/>
      <c r="F5" s="2"/>
      <c r="G5" s="2"/>
      <c r="H5" s="2"/>
    </row>
    <row r="6" spans="1:8" ht="15" thickTop="1" x14ac:dyDescent="0.3">
      <c r="A6" s="64"/>
      <c r="B6" s="65" t="s">
        <v>314</v>
      </c>
      <c r="C6" s="66"/>
      <c r="D6" s="64"/>
      <c r="E6" s="66"/>
    </row>
    <row r="9" spans="1:8" x14ac:dyDescent="0.3">
      <c r="B9" t="s">
        <v>9</v>
      </c>
      <c r="C9" s="1" t="s">
        <v>10</v>
      </c>
      <c r="E9"/>
    </row>
    <row r="10" spans="1:8" x14ac:dyDescent="0.3">
      <c r="B10" s="53" t="s">
        <v>161</v>
      </c>
      <c r="C10" s="5">
        <v>88.11</v>
      </c>
      <c r="E10"/>
    </row>
    <row r="11" spans="1:8" ht="17.25" customHeight="1" x14ac:dyDescent="0.3">
      <c r="B11" s="53" t="s">
        <v>162</v>
      </c>
      <c r="C11" s="5">
        <v>102.13</v>
      </c>
      <c r="E11"/>
    </row>
    <row r="12" spans="1:8" x14ac:dyDescent="0.3">
      <c r="B12" s="53" t="s">
        <v>160</v>
      </c>
      <c r="C12" s="5">
        <v>116.16</v>
      </c>
      <c r="E12"/>
    </row>
    <row r="13" spans="1:8" x14ac:dyDescent="0.3">
      <c r="B13" s="3" t="s">
        <v>163</v>
      </c>
      <c r="C13" s="5">
        <v>200.32</v>
      </c>
      <c r="E13"/>
    </row>
    <row r="14" spans="1:8" x14ac:dyDescent="0.3">
      <c r="B14" s="61" t="s">
        <v>164</v>
      </c>
      <c r="C14" s="5">
        <v>256.39999999999998</v>
      </c>
      <c r="E14"/>
    </row>
    <row r="15" spans="1:8" x14ac:dyDescent="0.3">
      <c r="B15" s="53" t="s">
        <v>165</v>
      </c>
      <c r="C15" s="5">
        <v>284.48</v>
      </c>
      <c r="E15"/>
    </row>
    <row r="16" spans="1:8" x14ac:dyDescent="0.3">
      <c r="B16" s="61" t="s">
        <v>166</v>
      </c>
      <c r="C16" s="5">
        <v>285.45999999999998</v>
      </c>
      <c r="E16"/>
    </row>
    <row r="17" spans="3:3" x14ac:dyDescent="0.3">
      <c r="C17" s="6"/>
    </row>
  </sheetData>
  <mergeCells count="1">
    <mergeCell ref="D3:D5"/>
  </mergeCells>
  <dataValidations count="1">
    <dataValidation type="list" allowBlank="1" showInputMessage="1" showErrorMessage="1" sqref="C1" xr:uid="{00000000-0002-0000-2300-000000000000}">
      <formula1>$B$10:$B$16</formula1>
    </dataValidation>
  </dataValidations>
  <hyperlinks>
    <hyperlink ref="B6" location="'1'!A1" display="'1'!A1" xr:uid="{00000000-0004-0000-2300-000000000000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8"/>
  <sheetViews>
    <sheetView workbookViewId="0">
      <selection activeCell="A6" sqref="A6:E6"/>
    </sheetView>
  </sheetViews>
  <sheetFormatPr defaultRowHeight="14.4" x14ac:dyDescent="0.3"/>
  <cols>
    <col min="1" max="1" width="5.5546875" customWidth="1"/>
    <col min="2" max="2" width="27" customWidth="1"/>
    <col min="3" max="3" width="29.6640625" style="1" customWidth="1"/>
    <col min="4" max="4" width="25.5546875" customWidth="1"/>
    <col min="5" max="5" width="12.44140625" style="1" customWidth="1"/>
    <col min="6" max="6" width="4.6640625" customWidth="1"/>
    <col min="8" max="8" width="10.88671875" bestFit="1" customWidth="1"/>
  </cols>
  <sheetData>
    <row r="1" spans="1:8" ht="17.399999999999999" x14ac:dyDescent="0.3">
      <c r="A1" s="15"/>
      <c r="B1" s="27" t="s">
        <v>28</v>
      </c>
      <c r="C1" s="17" t="s">
        <v>29</v>
      </c>
      <c r="D1" s="18" t="s">
        <v>2</v>
      </c>
      <c r="E1" s="28">
        <f>IF(ISBLANK(C3),E4,E3)</f>
        <v>0</v>
      </c>
      <c r="H1" s="2"/>
    </row>
    <row r="2" spans="1:8" ht="16.2" thickBot="1" x14ac:dyDescent="0.35">
      <c r="A2" s="15"/>
      <c r="B2" s="16" t="s">
        <v>3</v>
      </c>
      <c r="C2" s="17">
        <f>VLOOKUP(C1,Table14[],2,0)</f>
        <v>85.05</v>
      </c>
      <c r="D2" s="15"/>
      <c r="E2" s="15"/>
    </row>
    <row r="3" spans="1:8" ht="16.8" thickTop="1" thickBot="1" x14ac:dyDescent="0.35">
      <c r="A3" s="15"/>
      <c r="B3" s="16" t="s">
        <v>4</v>
      </c>
      <c r="C3" s="20"/>
      <c r="D3" s="99" t="s">
        <v>20</v>
      </c>
      <c r="E3" s="21">
        <f>C2*C3*(C5/1000)</f>
        <v>0</v>
      </c>
      <c r="F3" s="2"/>
      <c r="G3" s="2"/>
      <c r="H3" s="2"/>
    </row>
    <row r="4" spans="1:8" ht="16.8" thickTop="1" thickBot="1" x14ac:dyDescent="0.35">
      <c r="A4" s="22" t="s">
        <v>6</v>
      </c>
      <c r="B4" s="16" t="s">
        <v>7</v>
      </c>
      <c r="C4" s="20"/>
      <c r="D4" s="99"/>
      <c r="E4" s="21">
        <f>(C5/100)*C4</f>
        <v>0</v>
      </c>
      <c r="F4" s="2"/>
      <c r="G4" s="2"/>
      <c r="H4" s="2"/>
    </row>
    <row r="5" spans="1:8" ht="19.2" thickTop="1" thickBot="1" x14ac:dyDescent="0.35">
      <c r="A5" s="16"/>
      <c r="B5" s="16" t="s">
        <v>21</v>
      </c>
      <c r="C5" s="20"/>
      <c r="D5" s="99"/>
      <c r="E5" s="29"/>
      <c r="F5" s="2"/>
      <c r="G5" s="2"/>
      <c r="H5" s="2"/>
    </row>
    <row r="6" spans="1:8" ht="15" thickTop="1" x14ac:dyDescent="0.3">
      <c r="A6" s="64"/>
      <c r="B6" s="65" t="s">
        <v>314</v>
      </c>
      <c r="C6" s="66"/>
      <c r="D6" s="64"/>
      <c r="E6" s="66"/>
    </row>
    <row r="9" spans="1:8" x14ac:dyDescent="0.3">
      <c r="B9" t="s">
        <v>9</v>
      </c>
      <c r="C9" s="1" t="s">
        <v>10</v>
      </c>
      <c r="E9"/>
    </row>
    <row r="10" spans="1:8" x14ac:dyDescent="0.3">
      <c r="B10" s="30" t="s">
        <v>30</v>
      </c>
      <c r="C10" s="5">
        <v>97.94</v>
      </c>
      <c r="D10" s="3"/>
      <c r="E10" s="3"/>
      <c r="F10" s="4"/>
    </row>
    <row r="11" spans="1:8" x14ac:dyDescent="0.3">
      <c r="B11" s="30" t="s">
        <v>31</v>
      </c>
      <c r="C11" s="5">
        <v>96.09</v>
      </c>
      <c r="D11" s="3"/>
      <c r="E11" s="3"/>
      <c r="F11" s="3"/>
    </row>
    <row r="12" spans="1:8" x14ac:dyDescent="0.3">
      <c r="B12" s="30" t="s">
        <v>32</v>
      </c>
      <c r="C12" s="5">
        <v>53.49</v>
      </c>
      <c r="D12" s="3"/>
      <c r="E12" s="3"/>
      <c r="F12" s="3"/>
    </row>
    <row r="13" spans="1:8" x14ac:dyDescent="0.3">
      <c r="B13" s="31" t="s">
        <v>33</v>
      </c>
      <c r="C13" s="5">
        <v>252.07</v>
      </c>
      <c r="D13" s="3"/>
      <c r="E13" s="3"/>
      <c r="F13" s="3"/>
    </row>
    <row r="14" spans="1:8" x14ac:dyDescent="0.3">
      <c r="B14" s="30" t="s">
        <v>34</v>
      </c>
      <c r="C14" s="5">
        <v>77.08</v>
      </c>
      <c r="D14" s="3"/>
      <c r="E14" s="3"/>
      <c r="F14" s="3"/>
    </row>
    <row r="15" spans="1:8" x14ac:dyDescent="0.3">
      <c r="B15" s="31" t="s">
        <v>35</v>
      </c>
      <c r="C15" s="5">
        <v>37.04</v>
      </c>
      <c r="D15" s="3"/>
      <c r="E15" s="3"/>
      <c r="F15" s="3"/>
    </row>
    <row r="16" spans="1:8" x14ac:dyDescent="0.3">
      <c r="B16" s="30" t="s">
        <v>36</v>
      </c>
      <c r="C16" s="5">
        <v>144.94</v>
      </c>
      <c r="D16" s="3"/>
      <c r="E16" s="3"/>
      <c r="F16" s="3"/>
    </row>
    <row r="17" spans="2:6" x14ac:dyDescent="0.3">
      <c r="B17" s="30" t="s">
        <v>37</v>
      </c>
      <c r="C17" s="5">
        <v>392.14</v>
      </c>
      <c r="D17" s="3"/>
      <c r="E17" s="3"/>
      <c r="F17" s="3"/>
    </row>
    <row r="18" spans="2:6" x14ac:dyDescent="0.3">
      <c r="B18" s="30" t="s">
        <v>38</v>
      </c>
      <c r="C18" s="5">
        <v>261.98</v>
      </c>
      <c r="D18" s="3"/>
      <c r="E18" s="3"/>
      <c r="F18" s="3"/>
    </row>
    <row r="19" spans="2:6" x14ac:dyDescent="0.3">
      <c r="B19" s="31" t="s">
        <v>39</v>
      </c>
      <c r="C19" s="5">
        <v>116.98</v>
      </c>
      <c r="D19" s="3"/>
      <c r="E19" s="3"/>
      <c r="F19" s="3"/>
    </row>
    <row r="20" spans="2:6" x14ac:dyDescent="0.3">
      <c r="B20" s="31" t="s">
        <v>29</v>
      </c>
      <c r="C20" s="5">
        <v>85.05</v>
      </c>
      <c r="D20" s="3"/>
      <c r="E20" s="3"/>
      <c r="F20" s="3"/>
    </row>
    <row r="21" spans="2:6" x14ac:dyDescent="0.3">
      <c r="B21" s="30" t="s">
        <v>40</v>
      </c>
      <c r="C21" s="5">
        <v>142.11000000000001</v>
      </c>
      <c r="D21" s="3"/>
      <c r="E21" s="3"/>
      <c r="F21" s="3"/>
    </row>
    <row r="22" spans="2:6" x14ac:dyDescent="0.3">
      <c r="B22" s="30" t="s">
        <v>41</v>
      </c>
      <c r="C22" s="5">
        <v>132.07</v>
      </c>
      <c r="D22" s="3"/>
      <c r="E22" s="3"/>
      <c r="F22" s="3"/>
    </row>
    <row r="23" spans="2:6" x14ac:dyDescent="0.3">
      <c r="B23" s="30" t="s">
        <v>42</v>
      </c>
      <c r="C23" s="5">
        <v>132.13999999999999</v>
      </c>
      <c r="D23" s="3"/>
      <c r="E23" s="3"/>
      <c r="F23" s="3"/>
    </row>
    <row r="24" spans="2:6" x14ac:dyDescent="0.3">
      <c r="B24" s="31" t="s">
        <v>43</v>
      </c>
      <c r="C24" s="5">
        <v>68.14</v>
      </c>
      <c r="D24" s="3"/>
      <c r="E24" s="3"/>
      <c r="F24" s="3"/>
    </row>
    <row r="25" spans="2:6" x14ac:dyDescent="0.3">
      <c r="B25" s="31" t="s">
        <v>44</v>
      </c>
      <c r="C25" s="5">
        <v>76.12</v>
      </c>
      <c r="D25" s="3"/>
      <c r="E25" s="3"/>
      <c r="F25" s="3"/>
    </row>
    <row r="26" spans="2:6" x14ac:dyDescent="0.3">
      <c r="B26" s="30" t="s">
        <v>45</v>
      </c>
      <c r="C26" s="5">
        <v>184.15</v>
      </c>
      <c r="D26" s="3"/>
      <c r="E26" s="3"/>
      <c r="F26" s="3"/>
    </row>
    <row r="27" spans="2:6" x14ac:dyDescent="0.3">
      <c r="C27" s="6"/>
    </row>
    <row r="28" spans="2:6" x14ac:dyDescent="0.3">
      <c r="C28" s="6"/>
    </row>
  </sheetData>
  <mergeCells count="1">
    <mergeCell ref="D3:D5"/>
  </mergeCells>
  <dataValidations count="1">
    <dataValidation type="list" allowBlank="1" showInputMessage="1" showErrorMessage="1" sqref="C1" xr:uid="{00000000-0002-0000-0300-000000000000}">
      <formula1>$B$10:$B$26</formula1>
    </dataValidation>
  </dataValidations>
  <hyperlinks>
    <hyperlink ref="B6" location="'1'!A1" display="'1'!A1" xr:uid="{00000000-0004-0000-0300-000000000000}"/>
  </hyperlinks>
  <pageMargins left="0.7" right="0.7" top="0.75" bottom="0.75" header="0.3" footer="0.3"/>
  <tableParts count="1">
    <tablePart r:id="rId1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H18"/>
  <sheetViews>
    <sheetView workbookViewId="0">
      <selection activeCell="A6" sqref="A6:E6"/>
    </sheetView>
  </sheetViews>
  <sheetFormatPr defaultRowHeight="14.4" x14ac:dyDescent="0.3"/>
  <cols>
    <col min="1" max="1" width="3.44140625" customWidth="1"/>
    <col min="2" max="2" width="22.5546875" customWidth="1"/>
    <col min="3" max="3" width="43.88671875" style="1" customWidth="1"/>
    <col min="4" max="4" width="20.88671875" customWidth="1"/>
    <col min="5" max="5" width="8.88671875" style="1" customWidth="1"/>
    <col min="6" max="6" width="4.6640625" customWidth="1"/>
    <col min="8" max="8" width="10.88671875" bestFit="1" customWidth="1"/>
  </cols>
  <sheetData>
    <row r="1" spans="1:8" ht="15.6" x14ac:dyDescent="0.3">
      <c r="A1" s="32"/>
      <c r="B1" s="33" t="s">
        <v>0</v>
      </c>
      <c r="C1" s="34" t="s">
        <v>167</v>
      </c>
      <c r="D1" s="33" t="s">
        <v>2</v>
      </c>
      <c r="E1" s="35">
        <f>IF(ISBLANK(C3),E4,E3)</f>
        <v>0</v>
      </c>
      <c r="H1" s="2"/>
    </row>
    <row r="2" spans="1:8" ht="15" thickBot="1" x14ac:dyDescent="0.35">
      <c r="A2" s="32"/>
      <c r="B2" s="32" t="s">
        <v>3</v>
      </c>
      <c r="C2" s="34">
        <f>VLOOKUP(C1,Table130[],2,0)</f>
        <v>104.06</v>
      </c>
      <c r="D2" s="32"/>
      <c r="E2" s="32"/>
    </row>
    <row r="3" spans="1:8" ht="16.8" thickTop="1" thickBot="1" x14ac:dyDescent="0.35">
      <c r="A3" s="32"/>
      <c r="B3" s="32" t="s">
        <v>4</v>
      </c>
      <c r="C3" s="36"/>
      <c r="D3" s="102" t="s">
        <v>47</v>
      </c>
      <c r="E3" s="38">
        <f>C2*C3*(C5/1000)</f>
        <v>0</v>
      </c>
      <c r="F3" s="2"/>
      <c r="G3" s="2"/>
      <c r="H3" s="2"/>
    </row>
    <row r="4" spans="1:8" ht="16.8" thickTop="1" thickBot="1" x14ac:dyDescent="0.35">
      <c r="A4" s="39" t="s">
        <v>6</v>
      </c>
      <c r="B4" s="32" t="s">
        <v>7</v>
      </c>
      <c r="C4" s="36"/>
      <c r="D4" s="102"/>
      <c r="E4" s="38">
        <f>(C5/100)*C4</f>
        <v>0</v>
      </c>
      <c r="F4" s="2"/>
      <c r="G4" s="2"/>
      <c r="H4" s="2"/>
    </row>
    <row r="5" spans="1:8" ht="17.399999999999999" thickTop="1" thickBot="1" x14ac:dyDescent="0.35">
      <c r="A5" s="32"/>
      <c r="B5" s="32" t="s">
        <v>48</v>
      </c>
      <c r="C5" s="36"/>
      <c r="D5" s="102"/>
      <c r="E5" s="40"/>
      <c r="F5" s="2"/>
      <c r="G5" s="2"/>
      <c r="H5" s="2"/>
    </row>
    <row r="6" spans="1:8" ht="15" thickTop="1" x14ac:dyDescent="0.3">
      <c r="A6" s="64"/>
      <c r="B6" s="65" t="s">
        <v>314</v>
      </c>
      <c r="C6" s="66"/>
      <c r="D6" s="64"/>
      <c r="E6" s="66"/>
    </row>
    <row r="9" spans="1:8" x14ac:dyDescent="0.3">
      <c r="B9" t="s">
        <v>9</v>
      </c>
      <c r="C9" s="1" t="s">
        <v>10</v>
      </c>
      <c r="E9"/>
    </row>
    <row r="10" spans="1:8" x14ac:dyDescent="0.3">
      <c r="B10" s="61" t="s">
        <v>167</v>
      </c>
      <c r="C10" s="5">
        <v>104.06</v>
      </c>
      <c r="E10"/>
    </row>
    <row r="11" spans="1:8" ht="17.25" customHeight="1" x14ac:dyDescent="0.3">
      <c r="B11" s="61" t="s">
        <v>168</v>
      </c>
      <c r="C11" s="5">
        <v>118.09</v>
      </c>
      <c r="E11"/>
    </row>
    <row r="12" spans="1:8" x14ac:dyDescent="0.3">
      <c r="B12" s="61" t="s">
        <v>169</v>
      </c>
      <c r="C12" s="5">
        <v>116.07</v>
      </c>
      <c r="E12"/>
    </row>
    <row r="13" spans="1:8" x14ac:dyDescent="0.3">
      <c r="B13" s="61" t="s">
        <v>170</v>
      </c>
      <c r="C13" s="5">
        <v>116.07</v>
      </c>
      <c r="E13"/>
    </row>
    <row r="14" spans="1:8" x14ac:dyDescent="0.3">
      <c r="B14" s="61" t="s">
        <v>171</v>
      </c>
      <c r="C14" s="5">
        <v>134.09</v>
      </c>
      <c r="E14"/>
    </row>
    <row r="15" spans="1:8" x14ac:dyDescent="0.3">
      <c r="B15" s="61" t="s">
        <v>172</v>
      </c>
      <c r="C15" s="5">
        <v>150.1</v>
      </c>
      <c r="E15"/>
    </row>
    <row r="16" spans="1:8" x14ac:dyDescent="0.3">
      <c r="B16" s="61" t="s">
        <v>173</v>
      </c>
      <c r="C16" s="5">
        <v>192.14</v>
      </c>
      <c r="E16"/>
    </row>
    <row r="17" spans="2:5" x14ac:dyDescent="0.3">
      <c r="B17" s="61" t="s">
        <v>174</v>
      </c>
      <c r="C17" s="5">
        <v>210.14</v>
      </c>
      <c r="E17"/>
    </row>
    <row r="18" spans="2:5" x14ac:dyDescent="0.3">
      <c r="C18" s="6"/>
    </row>
  </sheetData>
  <mergeCells count="1">
    <mergeCell ref="D3:D5"/>
  </mergeCells>
  <dataValidations count="1">
    <dataValidation type="list" allowBlank="1" showInputMessage="1" showErrorMessage="1" sqref="C1" xr:uid="{00000000-0002-0000-2400-000000000000}">
      <formula1>$B$10:$B$17</formula1>
    </dataValidation>
  </dataValidations>
  <hyperlinks>
    <hyperlink ref="B6" location="'1'!A1" display="'1'!A1" xr:uid="{00000000-0004-0000-2400-000000000000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H16"/>
  <sheetViews>
    <sheetView workbookViewId="0">
      <selection activeCell="A6" sqref="A6:E6"/>
    </sheetView>
  </sheetViews>
  <sheetFormatPr defaultRowHeight="14.4" x14ac:dyDescent="0.3"/>
  <cols>
    <col min="1" max="1" width="3.44140625" customWidth="1"/>
    <col min="2" max="2" width="22.5546875" customWidth="1"/>
    <col min="3" max="3" width="43.88671875" style="1" customWidth="1"/>
    <col min="4" max="4" width="20.88671875" customWidth="1"/>
    <col min="5" max="5" width="8.88671875" style="1" customWidth="1"/>
    <col min="6" max="6" width="4.6640625" customWidth="1"/>
    <col min="8" max="8" width="10.88671875" bestFit="1" customWidth="1"/>
  </cols>
  <sheetData>
    <row r="1" spans="1:8" ht="15.6" x14ac:dyDescent="0.3">
      <c r="A1" s="32"/>
      <c r="B1" s="33" t="s">
        <v>0</v>
      </c>
      <c r="C1" s="34" t="s">
        <v>175</v>
      </c>
      <c r="D1" s="33" t="s">
        <v>2</v>
      </c>
      <c r="E1" s="35">
        <f>IF(ISBLANK(C3),E4,E3)</f>
        <v>0</v>
      </c>
      <c r="H1" s="2"/>
    </row>
    <row r="2" spans="1:8" ht="15" thickBot="1" x14ac:dyDescent="0.35">
      <c r="A2" s="32"/>
      <c r="B2" s="32" t="s">
        <v>3</v>
      </c>
      <c r="C2" s="34">
        <f>VLOOKUP(C1,Table131[],2,0)</f>
        <v>122.12</v>
      </c>
      <c r="D2" s="32"/>
      <c r="E2" s="32"/>
    </row>
    <row r="3" spans="1:8" ht="16.8" thickTop="1" thickBot="1" x14ac:dyDescent="0.35">
      <c r="A3" s="32"/>
      <c r="B3" s="32" t="s">
        <v>4</v>
      </c>
      <c r="C3" s="36"/>
      <c r="D3" s="102" t="s">
        <v>47</v>
      </c>
      <c r="E3" s="38">
        <f>C2*C3*(C5/1000)</f>
        <v>0</v>
      </c>
      <c r="F3" s="2"/>
      <c r="G3" s="2"/>
      <c r="H3" s="2"/>
    </row>
    <row r="4" spans="1:8" ht="16.8" thickTop="1" thickBot="1" x14ac:dyDescent="0.35">
      <c r="A4" s="39" t="s">
        <v>6</v>
      </c>
      <c r="B4" s="32" t="s">
        <v>7</v>
      </c>
      <c r="C4" s="36"/>
      <c r="D4" s="102"/>
      <c r="E4" s="38">
        <f>(C5/100)*C4</f>
        <v>0</v>
      </c>
      <c r="F4" s="2"/>
      <c r="G4" s="2"/>
      <c r="H4" s="2"/>
    </row>
    <row r="5" spans="1:8" ht="17.399999999999999" thickTop="1" thickBot="1" x14ac:dyDescent="0.35">
      <c r="A5" s="32"/>
      <c r="B5" s="32" t="s">
        <v>48</v>
      </c>
      <c r="C5" s="36"/>
      <c r="D5" s="102"/>
      <c r="E5" s="40"/>
      <c r="F5" s="2"/>
      <c r="G5" s="2"/>
      <c r="H5" s="2"/>
    </row>
    <row r="6" spans="1:8" ht="15" thickTop="1" x14ac:dyDescent="0.3">
      <c r="A6" s="64"/>
      <c r="B6" s="65" t="s">
        <v>314</v>
      </c>
      <c r="C6" s="66"/>
      <c r="D6" s="64"/>
      <c r="E6" s="66"/>
    </row>
    <row r="9" spans="1:8" x14ac:dyDescent="0.3">
      <c r="B9" t="s">
        <v>9</v>
      </c>
      <c r="C9" s="1" t="s">
        <v>10</v>
      </c>
      <c r="E9"/>
    </row>
    <row r="10" spans="1:8" x14ac:dyDescent="0.3">
      <c r="B10" s="61" t="s">
        <v>175</v>
      </c>
      <c r="C10" s="5">
        <v>122.12</v>
      </c>
      <c r="E10"/>
    </row>
    <row r="11" spans="1:8" ht="17.25" customHeight="1" x14ac:dyDescent="0.3">
      <c r="B11" s="61" t="s">
        <v>176</v>
      </c>
      <c r="C11" s="5">
        <v>167.12</v>
      </c>
      <c r="E11"/>
    </row>
    <row r="12" spans="1:8" x14ac:dyDescent="0.3">
      <c r="B12" s="61" t="s">
        <v>177</v>
      </c>
      <c r="C12" s="5">
        <v>166.12</v>
      </c>
      <c r="E12"/>
    </row>
    <row r="13" spans="1:8" x14ac:dyDescent="0.3">
      <c r="B13" s="61" t="s">
        <v>178</v>
      </c>
      <c r="C13" s="5">
        <v>148.18</v>
      </c>
      <c r="E13"/>
    </row>
    <row r="14" spans="1:8" x14ac:dyDescent="0.3">
      <c r="B14" s="61" t="s">
        <v>179</v>
      </c>
      <c r="C14" s="5">
        <v>137.13999999999999</v>
      </c>
      <c r="E14"/>
    </row>
    <row r="15" spans="1:8" x14ac:dyDescent="0.3">
      <c r="B15" s="61" t="s">
        <v>180</v>
      </c>
      <c r="C15" s="5">
        <v>176.12</v>
      </c>
      <c r="E15"/>
    </row>
    <row r="16" spans="1:8" x14ac:dyDescent="0.3">
      <c r="C16" s="6"/>
    </row>
  </sheetData>
  <mergeCells count="1">
    <mergeCell ref="D3:D5"/>
  </mergeCells>
  <dataValidations count="1">
    <dataValidation type="list" allowBlank="1" showInputMessage="1" showErrorMessage="1" sqref="C1" xr:uid="{00000000-0002-0000-2500-000000000000}">
      <formula1>$B$10:$B$15</formula1>
    </dataValidation>
  </dataValidations>
  <hyperlinks>
    <hyperlink ref="B6" location="'1'!A1" display="'1'!A1" xr:uid="{00000000-0004-0000-2500-000000000000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H10"/>
  <sheetViews>
    <sheetView workbookViewId="0">
      <selection activeCell="A6" sqref="A6:E6"/>
    </sheetView>
  </sheetViews>
  <sheetFormatPr defaultRowHeight="14.4" x14ac:dyDescent="0.3"/>
  <cols>
    <col min="1" max="1" width="5.5546875" customWidth="1"/>
    <col min="2" max="2" width="23.33203125" customWidth="1"/>
    <col min="3" max="3" width="29.44140625" style="1" customWidth="1"/>
    <col min="4" max="4" width="23.88671875" customWidth="1"/>
    <col min="5" max="5" width="12.44140625" style="1" customWidth="1"/>
    <col min="6" max="6" width="4.6640625" customWidth="1"/>
    <col min="8" max="8" width="10.88671875" bestFit="1" customWidth="1"/>
  </cols>
  <sheetData>
    <row r="1" spans="1:8" ht="15.6" x14ac:dyDescent="0.3">
      <c r="A1" s="32"/>
      <c r="B1" s="54" t="s">
        <v>96</v>
      </c>
      <c r="C1" s="55" t="s">
        <v>181</v>
      </c>
      <c r="D1" s="33" t="s">
        <v>2</v>
      </c>
      <c r="E1" s="35">
        <f>IF(ISBLANK(C3),E4,E3)</f>
        <v>0</v>
      </c>
      <c r="H1" s="2"/>
    </row>
    <row r="2" spans="1:8" ht="15" thickBot="1" x14ac:dyDescent="0.35">
      <c r="A2" s="32"/>
      <c r="B2" s="56" t="s">
        <v>3</v>
      </c>
      <c r="C2" s="55">
        <v>46</v>
      </c>
      <c r="D2" s="33"/>
      <c r="E2" s="35"/>
    </row>
    <row r="3" spans="1:8" ht="16.8" thickTop="1" thickBot="1" x14ac:dyDescent="0.35">
      <c r="A3" s="32"/>
      <c r="B3" s="32" t="s">
        <v>4</v>
      </c>
      <c r="C3" s="36"/>
      <c r="D3" s="102" t="s">
        <v>47</v>
      </c>
      <c r="E3" s="38">
        <f>C2*C3*(C5/1000)</f>
        <v>0</v>
      </c>
      <c r="F3" s="2"/>
      <c r="G3" s="2"/>
      <c r="H3" s="2"/>
    </row>
    <row r="4" spans="1:8" ht="16.8" thickTop="1" thickBot="1" x14ac:dyDescent="0.35">
      <c r="A4" s="39" t="s">
        <v>6</v>
      </c>
      <c r="B4" s="32" t="s">
        <v>7</v>
      </c>
      <c r="C4" s="36"/>
      <c r="D4" s="102"/>
      <c r="E4" s="38">
        <f>(C5/100)*C4</f>
        <v>0</v>
      </c>
      <c r="F4" s="2"/>
      <c r="G4" s="2"/>
      <c r="H4" s="2"/>
    </row>
    <row r="5" spans="1:8" ht="17.399999999999999" thickTop="1" thickBot="1" x14ac:dyDescent="0.35">
      <c r="A5" s="32"/>
      <c r="B5" s="32" t="s">
        <v>48</v>
      </c>
      <c r="C5" s="36"/>
      <c r="D5" s="102"/>
      <c r="E5" s="40"/>
      <c r="F5" s="2"/>
      <c r="G5" s="2"/>
      <c r="H5" s="2"/>
    </row>
    <row r="6" spans="1:8" ht="15" thickTop="1" x14ac:dyDescent="0.3">
      <c r="A6" s="64"/>
      <c r="B6" s="65" t="s">
        <v>314</v>
      </c>
      <c r="C6" s="66"/>
      <c r="D6" s="64"/>
      <c r="E6" s="66"/>
    </row>
    <row r="9" spans="1:8" x14ac:dyDescent="0.3">
      <c r="C9" s="6"/>
    </row>
    <row r="10" spans="1:8" x14ac:dyDescent="0.3">
      <c r="C10" s="6"/>
    </row>
  </sheetData>
  <mergeCells count="1">
    <mergeCell ref="D3:D5"/>
  </mergeCells>
  <hyperlinks>
    <hyperlink ref="B6" location="'1'!A1" display="'1'!A1" xr:uid="{00000000-0004-0000-2600-000000000000}"/>
  </hyperlink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H32"/>
  <sheetViews>
    <sheetView workbookViewId="0">
      <selection activeCell="A6" sqref="A6:E6"/>
    </sheetView>
  </sheetViews>
  <sheetFormatPr defaultRowHeight="14.4" x14ac:dyDescent="0.3"/>
  <cols>
    <col min="1" max="1" width="3.44140625" customWidth="1"/>
    <col min="2" max="2" width="22.5546875" customWidth="1"/>
    <col min="3" max="3" width="43.88671875" style="1" customWidth="1"/>
    <col min="4" max="4" width="20.88671875" customWidth="1"/>
    <col min="5" max="5" width="8.88671875" style="1" customWidth="1"/>
    <col min="6" max="6" width="4.6640625" customWidth="1"/>
    <col min="8" max="8" width="10.88671875" bestFit="1" customWidth="1"/>
  </cols>
  <sheetData>
    <row r="1" spans="1:8" ht="15.6" x14ac:dyDescent="0.3">
      <c r="A1" s="32"/>
      <c r="B1" s="33" t="s">
        <v>0</v>
      </c>
      <c r="C1" s="34" t="s">
        <v>182</v>
      </c>
      <c r="D1" s="33" t="s">
        <v>2</v>
      </c>
      <c r="E1" s="35">
        <f>IF(ISBLANK(C3),E4,E3)</f>
        <v>0</v>
      </c>
      <c r="H1" s="2"/>
    </row>
    <row r="2" spans="1:8" ht="15" thickBot="1" x14ac:dyDescent="0.35">
      <c r="A2" s="32"/>
      <c r="B2" s="32" t="s">
        <v>3</v>
      </c>
      <c r="C2" s="34">
        <f>VLOOKUP(C1,Table132[],2,0)</f>
        <v>234.05</v>
      </c>
      <c r="D2" s="32"/>
      <c r="E2" s="32"/>
    </row>
    <row r="3" spans="1:8" ht="16.8" thickTop="1" thickBot="1" x14ac:dyDescent="0.35">
      <c r="A3" s="32"/>
      <c r="B3" s="32" t="s">
        <v>4</v>
      </c>
      <c r="C3" s="36"/>
      <c r="D3" s="102" t="s">
        <v>47</v>
      </c>
      <c r="E3" s="38">
        <f>C2*C3*(C5/1000)</f>
        <v>0</v>
      </c>
      <c r="F3" s="2"/>
      <c r="G3" s="2"/>
      <c r="H3" s="2"/>
    </row>
    <row r="4" spans="1:8" ht="16.8" thickTop="1" thickBot="1" x14ac:dyDescent="0.35">
      <c r="A4" s="39" t="s">
        <v>6</v>
      </c>
      <c r="B4" s="32" t="s">
        <v>7</v>
      </c>
      <c r="C4" s="36"/>
      <c r="D4" s="102"/>
      <c r="E4" s="38">
        <f>(C5/100)*C4</f>
        <v>0</v>
      </c>
      <c r="F4" s="2"/>
      <c r="G4" s="2"/>
      <c r="H4" s="2"/>
    </row>
    <row r="5" spans="1:8" ht="17.399999999999999" thickTop="1" thickBot="1" x14ac:dyDescent="0.35">
      <c r="A5" s="32"/>
      <c r="B5" s="32" t="s">
        <v>48</v>
      </c>
      <c r="C5" s="36"/>
      <c r="D5" s="102"/>
      <c r="E5" s="40"/>
      <c r="F5" s="2"/>
      <c r="G5" s="2"/>
      <c r="H5" s="2"/>
    </row>
    <row r="6" spans="1:8" ht="15" thickTop="1" x14ac:dyDescent="0.3">
      <c r="A6" s="64"/>
      <c r="B6" s="65" t="s">
        <v>314</v>
      </c>
      <c r="C6" s="66"/>
      <c r="D6" s="64"/>
      <c r="E6" s="66"/>
    </row>
    <row r="9" spans="1:8" x14ac:dyDescent="0.3">
      <c r="B9" t="s">
        <v>9</v>
      </c>
      <c r="C9" s="1" t="s">
        <v>10</v>
      </c>
      <c r="E9"/>
    </row>
    <row r="10" spans="1:8" x14ac:dyDescent="0.3">
      <c r="B10" s="53" t="s">
        <v>183</v>
      </c>
      <c r="C10" s="5">
        <v>149.09</v>
      </c>
      <c r="E10"/>
    </row>
    <row r="11" spans="1:8" ht="17.25" customHeight="1" x14ac:dyDescent="0.3">
      <c r="B11" s="61" t="s">
        <v>184</v>
      </c>
      <c r="C11" s="5">
        <v>132.06</v>
      </c>
      <c r="E11"/>
    </row>
    <row r="12" spans="1:8" x14ac:dyDescent="0.3">
      <c r="B12" s="61" t="s">
        <v>185</v>
      </c>
      <c r="C12" s="5">
        <v>115.03</v>
      </c>
      <c r="E12"/>
    </row>
    <row r="13" spans="1:8" x14ac:dyDescent="0.3">
      <c r="B13" s="61" t="s">
        <v>186</v>
      </c>
      <c r="C13" s="5">
        <v>310.18</v>
      </c>
      <c r="E13"/>
    </row>
    <row r="14" spans="1:8" x14ac:dyDescent="0.3">
      <c r="B14" s="61" t="s">
        <v>187</v>
      </c>
      <c r="C14" s="5">
        <v>136.06</v>
      </c>
      <c r="E14"/>
    </row>
    <row r="15" spans="1:8" x14ac:dyDescent="0.3">
      <c r="B15" s="61" t="s">
        <v>182</v>
      </c>
      <c r="C15" s="5">
        <v>234.05</v>
      </c>
      <c r="E15"/>
    </row>
    <row r="16" spans="1:8" x14ac:dyDescent="0.3">
      <c r="B16" s="61" t="s">
        <v>188</v>
      </c>
      <c r="C16" s="5">
        <v>262.86</v>
      </c>
      <c r="E16"/>
    </row>
    <row r="17" spans="2:5" x14ac:dyDescent="0.3">
      <c r="B17" s="61" t="s">
        <v>189</v>
      </c>
      <c r="C17" s="5">
        <v>184.33</v>
      </c>
      <c r="E17"/>
    </row>
    <row r="18" spans="2:5" x14ac:dyDescent="0.3">
      <c r="B18" s="61" t="s">
        <v>190</v>
      </c>
      <c r="C18" s="5">
        <v>218.28</v>
      </c>
      <c r="E18"/>
    </row>
    <row r="19" spans="2:5" x14ac:dyDescent="0.3">
      <c r="B19" s="61" t="s">
        <v>191</v>
      </c>
      <c r="C19" s="5">
        <v>212.27</v>
      </c>
      <c r="E19"/>
    </row>
    <row r="20" spans="2:5" x14ac:dyDescent="0.3">
      <c r="B20" s="61" t="s">
        <v>192</v>
      </c>
      <c r="C20" s="5">
        <v>230.28</v>
      </c>
      <c r="E20"/>
    </row>
    <row r="21" spans="2:5" x14ac:dyDescent="0.3">
      <c r="B21" s="61" t="s">
        <v>193</v>
      </c>
      <c r="C21" s="5">
        <v>174.18</v>
      </c>
      <c r="E21"/>
    </row>
    <row r="22" spans="2:5" x14ac:dyDescent="0.3">
      <c r="B22" s="61" t="s">
        <v>194</v>
      </c>
      <c r="C22" s="5">
        <v>228.22</v>
      </c>
      <c r="E22"/>
    </row>
    <row r="23" spans="2:5" x14ac:dyDescent="0.3">
      <c r="B23" s="61" t="s">
        <v>195</v>
      </c>
      <c r="C23" s="5">
        <v>136.09</v>
      </c>
      <c r="E23"/>
    </row>
    <row r="24" spans="2:5" x14ac:dyDescent="0.3">
      <c r="B24" s="61" t="s">
        <v>196</v>
      </c>
      <c r="C24" s="5">
        <v>163.94</v>
      </c>
      <c r="E24"/>
    </row>
    <row r="25" spans="2:5" x14ac:dyDescent="0.3">
      <c r="B25" s="61" t="s">
        <v>197</v>
      </c>
      <c r="C25" s="5">
        <v>380.12</v>
      </c>
      <c r="E25"/>
    </row>
    <row r="26" spans="2:5" x14ac:dyDescent="0.3">
      <c r="B26" s="61" t="s">
        <v>198</v>
      </c>
      <c r="C26" s="5">
        <v>141.96</v>
      </c>
      <c r="E26"/>
    </row>
    <row r="27" spans="2:5" x14ac:dyDescent="0.3">
      <c r="B27" s="61" t="s">
        <v>199</v>
      </c>
      <c r="C27" s="5">
        <v>268.07</v>
      </c>
      <c r="E27"/>
    </row>
    <row r="28" spans="2:5" x14ac:dyDescent="0.3">
      <c r="B28" s="61" t="s">
        <v>200</v>
      </c>
      <c r="C28" s="5">
        <v>358.16</v>
      </c>
      <c r="E28"/>
    </row>
    <row r="29" spans="2:5" x14ac:dyDescent="0.3">
      <c r="B29" s="61" t="s">
        <v>201</v>
      </c>
      <c r="C29" s="5">
        <v>119.98</v>
      </c>
      <c r="E29"/>
    </row>
    <row r="30" spans="2:5" x14ac:dyDescent="0.3">
      <c r="B30" s="61" t="s">
        <v>202</v>
      </c>
      <c r="C30" s="5">
        <v>137.99</v>
      </c>
      <c r="E30"/>
    </row>
    <row r="31" spans="2:5" x14ac:dyDescent="0.3">
      <c r="B31" s="61" t="s">
        <v>203</v>
      </c>
      <c r="C31" s="5">
        <v>156.01</v>
      </c>
      <c r="E31"/>
    </row>
    <row r="32" spans="2:5" x14ac:dyDescent="0.3">
      <c r="C32" s="6"/>
    </row>
  </sheetData>
  <mergeCells count="1">
    <mergeCell ref="D3:D5"/>
  </mergeCells>
  <dataValidations count="1">
    <dataValidation type="list" allowBlank="1" showInputMessage="1" showErrorMessage="1" sqref="C1" xr:uid="{00000000-0002-0000-2700-000000000000}">
      <formula1>$B$10:$B$31</formula1>
    </dataValidation>
  </dataValidations>
  <hyperlinks>
    <hyperlink ref="B6" location="'1'!A1" display="'1'!A1" xr:uid="{00000000-0004-0000-2700-000000000000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E12"/>
  <sheetViews>
    <sheetView workbookViewId="0">
      <selection activeCell="A6" sqref="A6:E6"/>
    </sheetView>
  </sheetViews>
  <sheetFormatPr defaultRowHeight="14.4" x14ac:dyDescent="0.3"/>
  <cols>
    <col min="1" max="1" width="3.44140625" customWidth="1"/>
    <col min="2" max="2" width="22.5546875" customWidth="1"/>
    <col min="3" max="3" width="21.44140625" customWidth="1"/>
    <col min="4" max="4" width="25.88671875" customWidth="1"/>
    <col min="5" max="5" width="11.44140625" customWidth="1"/>
    <col min="6" max="6" width="6.5546875" customWidth="1"/>
  </cols>
  <sheetData>
    <row r="1" spans="1:5" ht="16.2" x14ac:dyDescent="0.3">
      <c r="A1" s="32"/>
      <c r="B1" s="32" t="s">
        <v>16</v>
      </c>
      <c r="C1" s="34" t="s">
        <v>204</v>
      </c>
      <c r="D1" s="33" t="s">
        <v>100</v>
      </c>
      <c r="E1" s="57">
        <f>IF(ISBLANK(C3),E4,E3)</f>
        <v>0</v>
      </c>
    </row>
    <row r="2" spans="1:5" ht="15" thickBot="1" x14ac:dyDescent="0.35">
      <c r="A2" s="32"/>
      <c r="B2" s="32" t="s">
        <v>19</v>
      </c>
      <c r="C2" s="34">
        <f>VLOOKUP(C1,Table133[[Original Conc]:[Conc]],2,0)</f>
        <v>15.2</v>
      </c>
      <c r="D2" s="33" t="s">
        <v>2</v>
      </c>
      <c r="E2" s="57">
        <f>IF(C1="Conc 85%",(E1*1.685),IF(C1="2M",(E1*1.11),(E1*1.05)))</f>
        <v>0</v>
      </c>
    </row>
    <row r="3" spans="1:5" ht="15.6" thickTop="1" thickBot="1" x14ac:dyDescent="0.35">
      <c r="A3" s="32"/>
      <c r="B3" s="32" t="s">
        <v>4</v>
      </c>
      <c r="C3" s="36"/>
      <c r="D3" s="102" t="s">
        <v>47</v>
      </c>
      <c r="E3" s="38">
        <f>(C3/C2)*C5</f>
        <v>0</v>
      </c>
    </row>
    <row r="4" spans="1:5" ht="15.6" thickTop="1" thickBot="1" x14ac:dyDescent="0.35">
      <c r="A4" s="39" t="s">
        <v>6</v>
      </c>
      <c r="B4" s="32" t="s">
        <v>7</v>
      </c>
      <c r="C4" s="36"/>
      <c r="D4" s="102"/>
      <c r="E4" s="38">
        <f>C5*(C4/E5)</f>
        <v>0</v>
      </c>
    </row>
    <row r="5" spans="1:5" ht="17.399999999999999" thickTop="1" thickBot="1" x14ac:dyDescent="0.35">
      <c r="A5" s="32"/>
      <c r="B5" s="32" t="s">
        <v>48</v>
      </c>
      <c r="C5" s="36"/>
      <c r="D5" s="102"/>
      <c r="E5" s="58">
        <f>VLOOKUP(C1,Table133[],3,0)</f>
        <v>85</v>
      </c>
    </row>
    <row r="6" spans="1:5" ht="15" thickTop="1" x14ac:dyDescent="0.3">
      <c r="A6" s="64"/>
      <c r="B6" s="65" t="s">
        <v>314</v>
      </c>
      <c r="C6" s="66"/>
      <c r="D6" s="64"/>
      <c r="E6" s="66"/>
    </row>
    <row r="9" spans="1:5" x14ac:dyDescent="0.3">
      <c r="B9" s="24" t="s">
        <v>22</v>
      </c>
      <c r="C9" s="24" t="s">
        <v>23</v>
      </c>
      <c r="D9" s="24" t="s">
        <v>24</v>
      </c>
    </row>
    <row r="10" spans="1:5" x14ac:dyDescent="0.3">
      <c r="B10" s="25" t="s">
        <v>204</v>
      </c>
      <c r="C10" s="1">
        <v>15.2</v>
      </c>
      <c r="D10" s="26">
        <v>85</v>
      </c>
    </row>
    <row r="11" spans="1:5" x14ac:dyDescent="0.3">
      <c r="B11" s="1" t="s">
        <v>26</v>
      </c>
      <c r="C11" s="1">
        <v>2</v>
      </c>
      <c r="D11" s="26">
        <v>11.18</v>
      </c>
    </row>
    <row r="12" spans="1:5" x14ac:dyDescent="0.3">
      <c r="B12" s="25" t="s">
        <v>27</v>
      </c>
      <c r="C12" s="1">
        <v>1</v>
      </c>
      <c r="D12" s="26">
        <v>5.59</v>
      </c>
    </row>
  </sheetData>
  <mergeCells count="1">
    <mergeCell ref="D3:D5"/>
  </mergeCells>
  <dataValidations count="1">
    <dataValidation type="list" allowBlank="1" showInputMessage="1" showErrorMessage="1" sqref="C1" xr:uid="{00000000-0002-0000-2800-000000000000}">
      <formula1>$B$10:$B$12</formula1>
    </dataValidation>
  </dataValidations>
  <hyperlinks>
    <hyperlink ref="B6" location="'1'!A1" display="'1'!A1" xr:uid="{00000000-0004-0000-2800-000000000000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H19"/>
  <sheetViews>
    <sheetView workbookViewId="0">
      <selection activeCell="A6" sqref="A6:E6"/>
    </sheetView>
  </sheetViews>
  <sheetFormatPr defaultRowHeight="14.4" x14ac:dyDescent="0.3"/>
  <cols>
    <col min="1" max="1" width="3.44140625" customWidth="1"/>
    <col min="2" max="2" width="22.5546875" customWidth="1"/>
    <col min="3" max="3" width="43.88671875" style="1" customWidth="1"/>
    <col min="4" max="4" width="20.88671875" customWidth="1"/>
    <col min="5" max="5" width="8.88671875" style="1" customWidth="1"/>
    <col min="6" max="6" width="4.6640625" customWidth="1"/>
    <col min="8" max="8" width="10.88671875" bestFit="1" customWidth="1"/>
  </cols>
  <sheetData>
    <row r="1" spans="1:8" ht="15.6" x14ac:dyDescent="0.3">
      <c r="A1" s="32"/>
      <c r="B1" s="33" t="s">
        <v>0</v>
      </c>
      <c r="C1" s="34" t="s">
        <v>205</v>
      </c>
      <c r="D1" s="33" t="s">
        <v>2</v>
      </c>
      <c r="E1" s="35">
        <f>IF(ISBLANK(C3),E4,E3)</f>
        <v>0</v>
      </c>
      <c r="H1" s="2"/>
    </row>
    <row r="2" spans="1:8" ht="15" thickBot="1" x14ac:dyDescent="0.35">
      <c r="A2" s="32"/>
      <c r="B2" s="32" t="s">
        <v>3</v>
      </c>
      <c r="C2" s="34">
        <f>VLOOKUP(C1,Table134[],2,0)</f>
        <v>119</v>
      </c>
      <c r="D2" s="32"/>
      <c r="E2" s="32"/>
    </row>
    <row r="3" spans="1:8" ht="16.8" thickTop="1" thickBot="1" x14ac:dyDescent="0.35">
      <c r="A3" s="32"/>
      <c r="B3" s="32" t="s">
        <v>4</v>
      </c>
      <c r="C3" s="36"/>
      <c r="D3" s="102" t="s">
        <v>47</v>
      </c>
      <c r="E3" s="38">
        <f>C2*C3*(C5/1000)</f>
        <v>0</v>
      </c>
      <c r="F3" s="2"/>
      <c r="G3" s="2"/>
      <c r="H3" s="2"/>
    </row>
    <row r="4" spans="1:8" ht="16.8" thickTop="1" thickBot="1" x14ac:dyDescent="0.35">
      <c r="A4" s="39" t="s">
        <v>6</v>
      </c>
      <c r="B4" s="32" t="s">
        <v>7</v>
      </c>
      <c r="C4" s="36"/>
      <c r="D4" s="102"/>
      <c r="E4" s="38">
        <f>(C5/100)*C4</f>
        <v>0</v>
      </c>
      <c r="F4" s="2"/>
      <c r="G4" s="2"/>
      <c r="H4" s="2"/>
    </row>
    <row r="5" spans="1:8" ht="17.399999999999999" thickTop="1" thickBot="1" x14ac:dyDescent="0.35">
      <c r="A5" s="32"/>
      <c r="B5" s="32" t="s">
        <v>48</v>
      </c>
      <c r="C5" s="36"/>
      <c r="D5" s="102"/>
      <c r="E5" s="40"/>
      <c r="F5" s="2"/>
      <c r="G5" s="2"/>
      <c r="H5" s="2"/>
    </row>
    <row r="6" spans="1:8" ht="15" thickTop="1" x14ac:dyDescent="0.3">
      <c r="A6" s="64"/>
      <c r="B6" s="65" t="s">
        <v>314</v>
      </c>
      <c r="C6" s="66"/>
      <c r="D6" s="64"/>
      <c r="E6" s="66"/>
    </row>
    <row r="9" spans="1:8" x14ac:dyDescent="0.3">
      <c r="B9" t="s">
        <v>9</v>
      </c>
      <c r="C9" s="1" t="s">
        <v>10</v>
      </c>
      <c r="E9"/>
    </row>
    <row r="10" spans="1:8" ht="17.25" customHeight="1" x14ac:dyDescent="0.3">
      <c r="B10" s="61" t="s">
        <v>205</v>
      </c>
      <c r="C10" s="5">
        <v>119</v>
      </c>
      <c r="E10"/>
    </row>
    <row r="11" spans="1:8" x14ac:dyDescent="0.3">
      <c r="B11" s="61" t="s">
        <v>206</v>
      </c>
      <c r="C11" s="5">
        <v>138.21</v>
      </c>
      <c r="E11"/>
    </row>
    <row r="12" spans="1:8" x14ac:dyDescent="0.3">
      <c r="B12" s="61" t="s">
        <v>207</v>
      </c>
      <c r="C12" s="5">
        <v>74.55</v>
      </c>
      <c r="E12"/>
    </row>
    <row r="13" spans="1:8" x14ac:dyDescent="0.3">
      <c r="B13" s="61" t="s">
        <v>208</v>
      </c>
      <c r="C13" s="5">
        <v>98.15</v>
      </c>
      <c r="E13"/>
    </row>
    <row r="14" spans="1:8" x14ac:dyDescent="0.3">
      <c r="B14" s="61" t="s">
        <v>209</v>
      </c>
      <c r="C14" s="5">
        <v>100.12</v>
      </c>
      <c r="E14"/>
    </row>
    <row r="15" spans="1:8" x14ac:dyDescent="0.3">
      <c r="B15" s="61" t="s">
        <v>210</v>
      </c>
      <c r="C15" s="5">
        <v>254.19</v>
      </c>
      <c r="E15"/>
    </row>
    <row r="16" spans="1:8" x14ac:dyDescent="0.3">
      <c r="B16" s="61" t="s">
        <v>211</v>
      </c>
      <c r="C16" s="5">
        <v>166</v>
      </c>
      <c r="E16"/>
    </row>
    <row r="17" spans="2:5" x14ac:dyDescent="0.3">
      <c r="B17" s="61" t="s">
        <v>212</v>
      </c>
      <c r="C17" s="5">
        <v>238.13</v>
      </c>
      <c r="E17"/>
    </row>
    <row r="18" spans="2:5" x14ac:dyDescent="0.3">
      <c r="B18" s="61" t="s">
        <v>213</v>
      </c>
      <c r="C18" s="5">
        <v>282.10000000000002</v>
      </c>
      <c r="E18"/>
    </row>
    <row r="19" spans="2:5" x14ac:dyDescent="0.3">
      <c r="C19" s="6"/>
    </row>
  </sheetData>
  <mergeCells count="1">
    <mergeCell ref="D3:D5"/>
  </mergeCells>
  <dataValidations count="1">
    <dataValidation type="list" allowBlank="1" showInputMessage="1" showErrorMessage="1" sqref="C1" xr:uid="{00000000-0002-0000-2900-000000000000}">
      <formula1>$B$10:$B$18</formula1>
    </dataValidation>
  </dataValidations>
  <hyperlinks>
    <hyperlink ref="B6" location="'1'!A1" display="'1'!A1" xr:uid="{00000000-0004-0000-2900-000000000000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H10"/>
  <sheetViews>
    <sheetView workbookViewId="0">
      <selection activeCell="A6" sqref="A6:E6"/>
    </sheetView>
  </sheetViews>
  <sheetFormatPr defaultRowHeight="14.4" x14ac:dyDescent="0.3"/>
  <cols>
    <col min="1" max="1" width="5.5546875" customWidth="1"/>
    <col min="2" max="2" width="23.33203125" customWidth="1"/>
    <col min="3" max="3" width="27.109375" style="1" customWidth="1"/>
    <col min="4" max="4" width="23.88671875" customWidth="1"/>
    <col min="5" max="5" width="12.44140625" style="1" customWidth="1"/>
    <col min="6" max="6" width="4.6640625" customWidth="1"/>
    <col min="8" max="8" width="10.88671875" bestFit="1" customWidth="1"/>
  </cols>
  <sheetData>
    <row r="1" spans="1:8" ht="15.6" x14ac:dyDescent="0.3">
      <c r="A1" s="32"/>
      <c r="B1" s="54" t="s">
        <v>96</v>
      </c>
      <c r="C1" s="55" t="s">
        <v>214</v>
      </c>
      <c r="D1" s="33" t="s">
        <v>2</v>
      </c>
      <c r="E1" s="35">
        <f>IF(ISBLANK(C3),E4,E3)</f>
        <v>0</v>
      </c>
      <c r="H1" s="2"/>
    </row>
    <row r="2" spans="1:8" ht="15" thickBot="1" x14ac:dyDescent="0.35">
      <c r="A2" s="32"/>
      <c r="B2" s="56" t="s">
        <v>3</v>
      </c>
      <c r="C2" s="55">
        <v>56.1</v>
      </c>
      <c r="D2" s="33"/>
      <c r="E2" s="35"/>
    </row>
    <row r="3" spans="1:8" ht="16.8" thickTop="1" thickBot="1" x14ac:dyDescent="0.35">
      <c r="A3" s="32"/>
      <c r="B3" s="32" t="s">
        <v>4</v>
      </c>
      <c r="C3" s="36"/>
      <c r="D3" s="102" t="s">
        <v>47</v>
      </c>
      <c r="E3" s="38">
        <f>C2*C3*(C5/1000)</f>
        <v>0</v>
      </c>
      <c r="F3" s="2"/>
      <c r="G3" s="2"/>
      <c r="H3" s="2"/>
    </row>
    <row r="4" spans="1:8" ht="16.8" thickTop="1" thickBot="1" x14ac:dyDescent="0.35">
      <c r="A4" s="39" t="s">
        <v>6</v>
      </c>
      <c r="B4" s="32" t="s">
        <v>7</v>
      </c>
      <c r="C4" s="36"/>
      <c r="D4" s="102"/>
      <c r="E4" s="38">
        <f>(C5/100)*C4</f>
        <v>0</v>
      </c>
      <c r="F4" s="2"/>
      <c r="G4" s="2"/>
      <c r="H4" s="2"/>
    </row>
    <row r="5" spans="1:8" ht="17.399999999999999" thickTop="1" thickBot="1" x14ac:dyDescent="0.35">
      <c r="A5" s="32"/>
      <c r="B5" s="32" t="s">
        <v>48</v>
      </c>
      <c r="C5" s="36"/>
      <c r="D5" s="102"/>
      <c r="E5" s="40"/>
      <c r="F5" s="2"/>
      <c r="G5" s="2"/>
      <c r="H5" s="2"/>
    </row>
    <row r="6" spans="1:8" ht="15" thickTop="1" x14ac:dyDescent="0.3">
      <c r="A6" s="64"/>
      <c r="B6" s="65" t="s">
        <v>314</v>
      </c>
      <c r="C6" s="66"/>
      <c r="D6" s="64"/>
      <c r="E6" s="66"/>
    </row>
    <row r="9" spans="1:8" x14ac:dyDescent="0.3">
      <c r="C9" s="6"/>
    </row>
    <row r="10" spans="1:8" x14ac:dyDescent="0.3">
      <c r="C10" s="6"/>
    </row>
  </sheetData>
  <mergeCells count="1">
    <mergeCell ref="D3:D5"/>
  </mergeCells>
  <hyperlinks>
    <hyperlink ref="B6" location="'1'!A1" display="'1'!A1" xr:uid="{00000000-0004-0000-2A00-000000000000}"/>
  </hyperlink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H10"/>
  <sheetViews>
    <sheetView workbookViewId="0">
      <selection activeCell="A6" sqref="A6:E6"/>
    </sheetView>
  </sheetViews>
  <sheetFormatPr defaultRowHeight="14.4" x14ac:dyDescent="0.3"/>
  <cols>
    <col min="1" max="1" width="5.5546875" customWidth="1"/>
    <col min="2" max="2" width="23.33203125" customWidth="1"/>
    <col min="3" max="3" width="29.44140625" style="1" customWidth="1"/>
    <col min="4" max="4" width="23.88671875" customWidth="1"/>
    <col min="5" max="5" width="12.44140625" style="1" customWidth="1"/>
    <col min="6" max="6" width="4.6640625" customWidth="1"/>
    <col min="8" max="8" width="10.88671875" bestFit="1" customWidth="1"/>
  </cols>
  <sheetData>
    <row r="1" spans="1:8" ht="15.6" x14ac:dyDescent="0.3">
      <c r="A1" s="32"/>
      <c r="B1" s="54" t="s">
        <v>96</v>
      </c>
      <c r="C1" s="55" t="s">
        <v>215</v>
      </c>
      <c r="D1" s="33" t="s">
        <v>2</v>
      </c>
      <c r="E1" s="35">
        <f>IF(ISBLANK(C3),E4,E3)</f>
        <v>0</v>
      </c>
      <c r="H1" s="2"/>
    </row>
    <row r="2" spans="1:8" ht="15" thickBot="1" x14ac:dyDescent="0.35">
      <c r="A2" s="32"/>
      <c r="B2" s="56" t="s">
        <v>3</v>
      </c>
      <c r="C2" s="55">
        <v>158.03</v>
      </c>
      <c r="D2" s="33"/>
      <c r="E2" s="35"/>
    </row>
    <row r="3" spans="1:8" ht="16.8" thickTop="1" thickBot="1" x14ac:dyDescent="0.35">
      <c r="A3" s="32"/>
      <c r="B3" s="32" t="s">
        <v>4</v>
      </c>
      <c r="C3" s="36"/>
      <c r="D3" s="102" t="s">
        <v>47</v>
      </c>
      <c r="E3" s="38">
        <f>C2*C3*(C5/1000)</f>
        <v>0</v>
      </c>
      <c r="F3" s="2"/>
      <c r="G3" s="2"/>
      <c r="H3" s="2"/>
    </row>
    <row r="4" spans="1:8" ht="16.8" thickTop="1" thickBot="1" x14ac:dyDescent="0.35">
      <c r="A4" s="39" t="s">
        <v>6</v>
      </c>
      <c r="B4" s="32" t="s">
        <v>7</v>
      </c>
      <c r="C4" s="36"/>
      <c r="D4" s="102"/>
      <c r="E4" s="38">
        <f>(C5/100)*C4</f>
        <v>0</v>
      </c>
      <c r="F4" s="2"/>
      <c r="G4" s="2"/>
      <c r="H4" s="2"/>
    </row>
    <row r="5" spans="1:8" ht="17.399999999999999" thickTop="1" thickBot="1" x14ac:dyDescent="0.35">
      <c r="A5" s="32"/>
      <c r="B5" s="32" t="s">
        <v>48</v>
      </c>
      <c r="C5" s="36"/>
      <c r="D5" s="102"/>
      <c r="E5" s="40"/>
      <c r="F5" s="2"/>
      <c r="G5" s="2"/>
      <c r="H5" s="2"/>
    </row>
    <row r="6" spans="1:8" ht="15" thickTop="1" x14ac:dyDescent="0.3">
      <c r="A6" s="64"/>
      <c r="B6" s="65" t="s">
        <v>314</v>
      </c>
      <c r="C6" s="66"/>
      <c r="D6" s="64"/>
      <c r="E6" s="66"/>
    </row>
    <row r="9" spans="1:8" x14ac:dyDescent="0.3">
      <c r="C9" s="6"/>
    </row>
    <row r="10" spans="1:8" x14ac:dyDescent="0.3">
      <c r="C10" s="6"/>
    </row>
  </sheetData>
  <mergeCells count="1">
    <mergeCell ref="D3:D5"/>
  </mergeCells>
  <hyperlinks>
    <hyperlink ref="B6" location="'1'!A1" display="'1'!A1" xr:uid="{00000000-0004-0000-2B00-000000000000}"/>
  </hyperlink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H10"/>
  <sheetViews>
    <sheetView workbookViewId="0">
      <selection activeCell="A6" sqref="A6:E6"/>
    </sheetView>
  </sheetViews>
  <sheetFormatPr defaultRowHeight="14.4" x14ac:dyDescent="0.3"/>
  <cols>
    <col min="1" max="1" width="5.5546875" customWidth="1"/>
    <col min="2" max="2" width="23.33203125" customWidth="1"/>
    <col min="3" max="3" width="29.44140625" style="1" customWidth="1"/>
    <col min="4" max="4" width="23.88671875" customWidth="1"/>
    <col min="5" max="5" width="12.44140625" style="1" customWidth="1"/>
    <col min="6" max="6" width="4.6640625" customWidth="1"/>
    <col min="8" max="8" width="10.88671875" bestFit="1" customWidth="1"/>
  </cols>
  <sheetData>
    <row r="1" spans="1:8" ht="15.6" x14ac:dyDescent="0.3">
      <c r="A1" s="32"/>
      <c r="B1" s="54" t="s">
        <v>96</v>
      </c>
      <c r="C1" s="55" t="s">
        <v>216</v>
      </c>
      <c r="D1" s="33" t="s">
        <v>2</v>
      </c>
      <c r="E1" s="35">
        <f>IF(ISBLANK(C3),E4,E3)</f>
        <v>74.099999999999994</v>
      </c>
      <c r="H1" s="2"/>
    </row>
    <row r="2" spans="1:8" ht="16.8" thickBot="1" x14ac:dyDescent="0.35">
      <c r="A2" s="32"/>
      <c r="B2" s="56" t="s">
        <v>3</v>
      </c>
      <c r="C2" s="55">
        <v>74.099999999999994</v>
      </c>
      <c r="D2" s="33" t="s">
        <v>100</v>
      </c>
      <c r="E2" s="35">
        <f>E1/0.99</f>
        <v>74.848484848484844</v>
      </c>
    </row>
    <row r="3" spans="1:8" ht="16.8" thickTop="1" thickBot="1" x14ac:dyDescent="0.35">
      <c r="A3" s="32"/>
      <c r="B3" s="32" t="s">
        <v>4</v>
      </c>
      <c r="C3" s="36">
        <v>1</v>
      </c>
      <c r="D3" s="102" t="s">
        <v>47</v>
      </c>
      <c r="E3" s="38">
        <f>C2*C3*(C5/1000)</f>
        <v>74.099999999999994</v>
      </c>
      <c r="F3" s="2"/>
      <c r="G3" s="2"/>
      <c r="H3" s="2"/>
    </row>
    <row r="4" spans="1:8" ht="16.8" thickTop="1" thickBot="1" x14ac:dyDescent="0.35">
      <c r="A4" s="39" t="s">
        <v>6</v>
      </c>
      <c r="B4" s="32" t="s">
        <v>7</v>
      </c>
      <c r="C4" s="36"/>
      <c r="D4" s="102"/>
      <c r="E4" s="38">
        <f>(C5/100)*C4</f>
        <v>0</v>
      </c>
      <c r="F4" s="2"/>
      <c r="G4" s="2"/>
      <c r="H4" s="2"/>
    </row>
    <row r="5" spans="1:8" ht="17.399999999999999" thickTop="1" thickBot="1" x14ac:dyDescent="0.35">
      <c r="A5" s="32"/>
      <c r="B5" s="32" t="s">
        <v>48</v>
      </c>
      <c r="C5" s="36">
        <v>1000</v>
      </c>
      <c r="D5" s="102"/>
      <c r="E5" s="40"/>
      <c r="F5" s="2"/>
      <c r="G5" s="2"/>
      <c r="H5" s="2"/>
    </row>
    <row r="6" spans="1:8" ht="15" thickTop="1" x14ac:dyDescent="0.3">
      <c r="A6" s="64"/>
      <c r="B6" s="65" t="s">
        <v>314</v>
      </c>
      <c r="C6" s="66"/>
      <c r="D6" s="64"/>
      <c r="E6" s="66"/>
    </row>
    <row r="9" spans="1:8" x14ac:dyDescent="0.3">
      <c r="C9" s="6"/>
    </row>
    <row r="10" spans="1:8" x14ac:dyDescent="0.3">
      <c r="C10" s="6"/>
    </row>
  </sheetData>
  <mergeCells count="1">
    <mergeCell ref="D3:D5"/>
  </mergeCells>
  <hyperlinks>
    <hyperlink ref="B6" location="'1'!A1" display="'1'!A1" xr:uid="{00000000-0004-0000-2C00-000000000000}"/>
  </hyperlink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H10"/>
  <sheetViews>
    <sheetView workbookViewId="0">
      <selection activeCell="A6" sqref="A6:E6"/>
    </sheetView>
  </sheetViews>
  <sheetFormatPr defaultRowHeight="14.4" x14ac:dyDescent="0.3"/>
  <cols>
    <col min="1" max="1" width="5.5546875" customWidth="1"/>
    <col min="2" max="2" width="23.33203125" customWidth="1"/>
    <col min="3" max="3" width="29.44140625" style="1" customWidth="1"/>
    <col min="4" max="4" width="23.88671875" customWidth="1"/>
    <col min="5" max="5" width="12.44140625" style="1" customWidth="1"/>
    <col min="6" max="6" width="4.6640625" customWidth="1"/>
    <col min="8" max="8" width="10.88671875" bestFit="1" customWidth="1"/>
  </cols>
  <sheetData>
    <row r="1" spans="1:8" ht="15.6" x14ac:dyDescent="0.3">
      <c r="A1" s="32"/>
      <c r="B1" s="54" t="s">
        <v>96</v>
      </c>
      <c r="C1" s="55" t="s">
        <v>217</v>
      </c>
      <c r="D1" s="33" t="s">
        <v>2</v>
      </c>
      <c r="E1" s="35">
        <f>IF(ISBLANK(C3),E4,E3)</f>
        <v>0</v>
      </c>
      <c r="H1" s="2"/>
    </row>
    <row r="2" spans="1:8" ht="16.8" thickBot="1" x14ac:dyDescent="0.35">
      <c r="A2" s="32"/>
      <c r="B2" s="56" t="s">
        <v>3</v>
      </c>
      <c r="C2" s="55">
        <v>58.08</v>
      </c>
      <c r="D2" s="33" t="s">
        <v>100</v>
      </c>
      <c r="E2" s="35">
        <f>E1/0.791</f>
        <v>0</v>
      </c>
    </row>
    <row r="3" spans="1:8" ht="16.8" thickTop="1" thickBot="1" x14ac:dyDescent="0.35">
      <c r="A3" s="32"/>
      <c r="B3" s="32" t="s">
        <v>4</v>
      </c>
      <c r="C3" s="36"/>
      <c r="D3" s="102" t="s">
        <v>47</v>
      </c>
      <c r="E3" s="38">
        <f>C2*C3*(C5/1000)</f>
        <v>0</v>
      </c>
      <c r="F3" s="2"/>
      <c r="G3" s="2"/>
      <c r="H3" s="2"/>
    </row>
    <row r="4" spans="1:8" ht="16.8" thickTop="1" thickBot="1" x14ac:dyDescent="0.35">
      <c r="A4" s="39" t="s">
        <v>6</v>
      </c>
      <c r="B4" s="32" t="s">
        <v>7</v>
      </c>
      <c r="C4" s="36"/>
      <c r="D4" s="102"/>
      <c r="E4" s="38">
        <f>(C5/100)*C4</f>
        <v>0</v>
      </c>
      <c r="F4" s="2"/>
      <c r="G4" s="2"/>
      <c r="H4" s="2"/>
    </row>
    <row r="5" spans="1:8" ht="17.399999999999999" thickTop="1" thickBot="1" x14ac:dyDescent="0.35">
      <c r="A5" s="32"/>
      <c r="B5" s="32" t="s">
        <v>48</v>
      </c>
      <c r="C5" s="36"/>
      <c r="D5" s="102"/>
      <c r="E5" s="40"/>
      <c r="F5" s="2"/>
      <c r="G5" s="2"/>
      <c r="H5" s="2"/>
    </row>
    <row r="6" spans="1:8" ht="15" thickTop="1" x14ac:dyDescent="0.3">
      <c r="A6" s="64"/>
      <c r="B6" s="65" t="s">
        <v>314</v>
      </c>
      <c r="C6" s="66"/>
      <c r="D6" s="64"/>
      <c r="E6" s="66"/>
    </row>
    <row r="9" spans="1:8" x14ac:dyDescent="0.3">
      <c r="C9" s="6"/>
    </row>
    <row r="10" spans="1:8" x14ac:dyDescent="0.3">
      <c r="C10" s="6"/>
    </row>
  </sheetData>
  <mergeCells count="1">
    <mergeCell ref="D3:D5"/>
  </mergeCells>
  <hyperlinks>
    <hyperlink ref="B6" location="'1'!A1" display="'1'!A1" xr:uid="{00000000-0004-0000-2D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4"/>
  <sheetViews>
    <sheetView workbookViewId="0">
      <selection activeCell="A7" sqref="A7:E7"/>
    </sheetView>
  </sheetViews>
  <sheetFormatPr defaultRowHeight="14.4" x14ac:dyDescent="0.3"/>
  <cols>
    <col min="1" max="1" width="5.5546875" customWidth="1"/>
    <col min="2" max="2" width="22.33203125" customWidth="1"/>
    <col min="3" max="3" width="33.5546875" style="1" customWidth="1"/>
    <col min="4" max="4" width="22" customWidth="1"/>
    <col min="5" max="5" width="10.44140625" style="1" customWidth="1"/>
    <col min="6" max="6" width="4.6640625" customWidth="1"/>
    <col min="8" max="8" width="10.88671875" bestFit="1" customWidth="1"/>
  </cols>
  <sheetData>
    <row r="1" spans="1:8" ht="15.6" x14ac:dyDescent="0.3">
      <c r="A1" s="32"/>
      <c r="B1" s="33" t="s">
        <v>0</v>
      </c>
      <c r="C1" s="34" t="s">
        <v>46</v>
      </c>
      <c r="D1" s="33" t="s">
        <v>2</v>
      </c>
      <c r="E1" s="35">
        <f>IF(ISBLANK(C3),E4,E3)</f>
        <v>0</v>
      </c>
      <c r="H1" s="2"/>
    </row>
    <row r="2" spans="1:8" ht="15" thickBot="1" x14ac:dyDescent="0.35">
      <c r="A2" s="32"/>
      <c r="B2" s="32" t="s">
        <v>3</v>
      </c>
      <c r="C2" s="34">
        <f>VLOOKUP(C1,Table15[],2,0)</f>
        <v>261.37</v>
      </c>
      <c r="D2" s="32"/>
      <c r="E2" s="32"/>
    </row>
    <row r="3" spans="1:8" ht="17.25" customHeight="1" thickTop="1" thickBot="1" x14ac:dyDescent="0.35">
      <c r="A3" s="32"/>
      <c r="B3" s="32" t="s">
        <v>4</v>
      </c>
      <c r="C3" s="36"/>
      <c r="D3" s="37" t="s">
        <v>47</v>
      </c>
      <c r="E3" s="38">
        <f>C2*C3*(C5/1000)</f>
        <v>0</v>
      </c>
      <c r="F3" s="2"/>
      <c r="G3" s="2"/>
      <c r="H3" s="2"/>
    </row>
    <row r="4" spans="1:8" ht="16.8" thickTop="1" thickBot="1" x14ac:dyDescent="0.35">
      <c r="A4" s="39" t="s">
        <v>6</v>
      </c>
      <c r="B4" s="32" t="s">
        <v>7</v>
      </c>
      <c r="C4" s="36"/>
      <c r="D4" s="37"/>
      <c r="E4" s="38">
        <f>(C5/100)*C4</f>
        <v>0</v>
      </c>
      <c r="F4" s="2"/>
      <c r="G4" s="2"/>
      <c r="H4" s="2"/>
    </row>
    <row r="5" spans="1:8" ht="17.399999999999999" thickTop="1" thickBot="1" x14ac:dyDescent="0.35">
      <c r="A5" s="32"/>
      <c r="B5" s="32" t="s">
        <v>48</v>
      </c>
      <c r="C5" s="36"/>
      <c r="D5" s="37"/>
      <c r="E5" s="40"/>
      <c r="F5" s="2"/>
      <c r="G5" s="2"/>
      <c r="H5" s="2"/>
    </row>
    <row r="6" spans="1:8" ht="15" thickTop="1" x14ac:dyDescent="0.3">
      <c r="A6" s="41"/>
      <c r="B6" s="42" t="s">
        <v>49</v>
      </c>
      <c r="C6" s="34" t="str">
        <f>VLOOKUP(C1,Table15[],3,0)</f>
        <v>3.89 g/100cm3</v>
      </c>
      <c r="D6" s="41"/>
      <c r="E6" s="43"/>
    </row>
    <row r="7" spans="1:8" x14ac:dyDescent="0.3">
      <c r="A7" s="64"/>
      <c r="B7" s="65" t="s">
        <v>314</v>
      </c>
      <c r="C7" s="66"/>
      <c r="D7" s="64"/>
      <c r="E7" s="66"/>
    </row>
    <row r="9" spans="1:8" x14ac:dyDescent="0.3">
      <c r="B9" t="s">
        <v>9</v>
      </c>
      <c r="C9" s="1" t="s">
        <v>10</v>
      </c>
      <c r="D9" s="1" t="s">
        <v>50</v>
      </c>
      <c r="E9"/>
    </row>
    <row r="10" spans="1:8" ht="16.2" x14ac:dyDescent="0.3">
      <c r="B10" s="3" t="s">
        <v>51</v>
      </c>
      <c r="C10" s="5">
        <v>244.36</v>
      </c>
      <c r="D10" s="5" t="s">
        <v>52</v>
      </c>
      <c r="E10" s="3"/>
      <c r="F10" s="3"/>
      <c r="G10" s="4"/>
    </row>
    <row r="11" spans="1:8" ht="16.2" x14ac:dyDescent="0.3">
      <c r="B11" s="3" t="s">
        <v>53</v>
      </c>
      <c r="C11" s="5">
        <v>315.45999999999998</v>
      </c>
      <c r="D11" s="5" t="s">
        <v>54</v>
      </c>
      <c r="E11" s="3"/>
      <c r="F11" s="3"/>
      <c r="G11" s="3"/>
    </row>
    <row r="12" spans="1:8" ht="16.2" x14ac:dyDescent="0.3">
      <c r="B12" s="3" t="s">
        <v>46</v>
      </c>
      <c r="C12" s="5">
        <v>261.37</v>
      </c>
      <c r="D12" s="5" t="s">
        <v>55</v>
      </c>
      <c r="E12" s="3"/>
      <c r="F12" s="3"/>
      <c r="G12" s="3"/>
    </row>
    <row r="13" spans="1:8" x14ac:dyDescent="0.3">
      <c r="C13" s="6"/>
    </row>
    <row r="14" spans="1:8" x14ac:dyDescent="0.3">
      <c r="C14" s="6"/>
    </row>
  </sheetData>
  <dataValidations count="1">
    <dataValidation type="list" allowBlank="1" showInputMessage="1" showErrorMessage="1" sqref="C1" xr:uid="{00000000-0002-0000-0400-000000000000}">
      <formula1>$B$10:$B$12</formula1>
    </dataValidation>
  </dataValidations>
  <hyperlinks>
    <hyperlink ref="B7" location="'1'!A1" display="'1'!A1" xr:uid="{00000000-0004-0000-0400-000000000000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99C3B-FACD-4F06-B02C-6A6900DB7C57}">
  <dimension ref="A1:H13"/>
  <sheetViews>
    <sheetView workbookViewId="0">
      <selection activeCell="K19" sqref="K19"/>
    </sheetView>
  </sheetViews>
  <sheetFormatPr defaultRowHeight="14.4" x14ac:dyDescent="0.3"/>
  <cols>
    <col min="1" max="1" width="3.44140625" customWidth="1"/>
    <col min="2" max="2" width="22.5546875" customWidth="1"/>
    <col min="3" max="3" width="30.33203125" style="1" customWidth="1"/>
    <col min="4" max="4" width="20.88671875" customWidth="1"/>
    <col min="5" max="5" width="8.88671875" style="1" customWidth="1"/>
    <col min="6" max="6" width="4.6640625" customWidth="1"/>
    <col min="8" max="8" width="10.88671875" bestFit="1" customWidth="1"/>
  </cols>
  <sheetData>
    <row r="1" spans="1:8" ht="15.6" x14ac:dyDescent="0.3">
      <c r="A1" s="83"/>
      <c r="B1" s="84" t="s">
        <v>0</v>
      </c>
      <c r="C1" s="85" t="s">
        <v>362</v>
      </c>
      <c r="D1" s="84" t="s">
        <v>2</v>
      </c>
      <c r="E1" s="86">
        <f>IF(ISBLANK(C3),E4,E3)</f>
        <v>0</v>
      </c>
      <c r="H1" s="2"/>
    </row>
    <row r="2" spans="1:8" ht="15" thickBot="1" x14ac:dyDescent="0.35">
      <c r="A2" s="83"/>
      <c r="B2" s="83" t="s">
        <v>3</v>
      </c>
      <c r="C2" s="85">
        <f>VLOOKUP(C1,Table151[],2,0)</f>
        <v>339.73</v>
      </c>
      <c r="D2" s="83"/>
      <c r="E2" s="83"/>
    </row>
    <row r="3" spans="1:8" ht="16.8" thickTop="1" thickBot="1" x14ac:dyDescent="0.35">
      <c r="A3" s="83"/>
      <c r="B3" s="83" t="s">
        <v>4</v>
      </c>
      <c r="C3" s="11"/>
      <c r="D3" s="106" t="s">
        <v>5</v>
      </c>
      <c r="E3" s="87">
        <f>C2*C3*(C5/1000)</f>
        <v>0</v>
      </c>
      <c r="F3" s="2"/>
      <c r="G3" s="2"/>
      <c r="H3" s="2"/>
    </row>
    <row r="4" spans="1:8" ht="16.8" thickTop="1" thickBot="1" x14ac:dyDescent="0.35">
      <c r="A4" s="88" t="s">
        <v>6</v>
      </c>
      <c r="B4" s="83" t="s">
        <v>7</v>
      </c>
      <c r="C4" s="11"/>
      <c r="D4" s="106"/>
      <c r="E4" s="87">
        <f>(C5/100)*C4</f>
        <v>0</v>
      </c>
      <c r="F4" s="2"/>
      <c r="G4" s="2"/>
      <c r="H4" s="2"/>
    </row>
    <row r="5" spans="1:8" ht="17.399999999999999" thickTop="1" thickBot="1" x14ac:dyDescent="0.35">
      <c r="A5" s="83"/>
      <c r="B5" s="83" t="s">
        <v>8</v>
      </c>
      <c r="C5" s="11"/>
      <c r="D5" s="106"/>
      <c r="E5" s="89"/>
      <c r="F5" s="2"/>
      <c r="G5" s="2"/>
      <c r="H5" s="2"/>
    </row>
    <row r="6" spans="1:8" ht="15" thickTop="1" x14ac:dyDescent="0.3"/>
    <row r="9" spans="1:8" x14ac:dyDescent="0.3">
      <c r="B9" t="s">
        <v>9</v>
      </c>
      <c r="C9" s="1" t="s">
        <v>10</v>
      </c>
      <c r="E9"/>
    </row>
    <row r="10" spans="1:8" ht="28.8" x14ac:dyDescent="0.3">
      <c r="B10" s="3" t="s">
        <v>362</v>
      </c>
      <c r="C10" s="5">
        <v>339.73</v>
      </c>
      <c r="E10"/>
    </row>
    <row r="11" spans="1:8" x14ac:dyDescent="0.3">
      <c r="B11" s="3" t="s">
        <v>154</v>
      </c>
      <c r="C11" s="5">
        <v>169.9</v>
      </c>
      <c r="E11"/>
    </row>
    <row r="12" spans="1:8" x14ac:dyDescent="0.3">
      <c r="C12" s="5"/>
      <c r="E12"/>
    </row>
    <row r="13" spans="1:8" x14ac:dyDescent="0.3">
      <c r="C13" s="6"/>
    </row>
  </sheetData>
  <mergeCells count="1">
    <mergeCell ref="D3:D5"/>
  </mergeCells>
  <dataValidations count="1">
    <dataValidation type="list" allowBlank="1" showInputMessage="1" showErrorMessage="1" sqref="C1" xr:uid="{19111DFE-DCC8-4BBA-894E-8F35089AC0BF}">
      <formula1>$B$10:$B$12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H34"/>
  <sheetViews>
    <sheetView workbookViewId="0">
      <selection activeCell="D10" sqref="D10"/>
    </sheetView>
  </sheetViews>
  <sheetFormatPr defaultRowHeight="14.4" x14ac:dyDescent="0.3"/>
  <cols>
    <col min="1" max="1" width="3.44140625" customWidth="1"/>
    <col min="2" max="2" width="22.5546875" customWidth="1"/>
    <col min="3" max="3" width="43.88671875" style="1" customWidth="1"/>
    <col min="4" max="4" width="20.88671875" customWidth="1"/>
    <col min="5" max="5" width="8.88671875" style="1" customWidth="1"/>
    <col min="6" max="6" width="4.6640625" customWidth="1"/>
    <col min="8" max="8" width="10.88671875" bestFit="1" customWidth="1"/>
  </cols>
  <sheetData>
    <row r="1" spans="1:8" ht="15.6" x14ac:dyDescent="0.3">
      <c r="A1" s="32"/>
      <c r="B1" s="33" t="s">
        <v>0</v>
      </c>
      <c r="C1" s="34" t="s">
        <v>218</v>
      </c>
      <c r="D1" s="33" t="s">
        <v>2</v>
      </c>
      <c r="E1" s="35">
        <f>IF(ISBLANK(C3),E4,E3)</f>
        <v>1</v>
      </c>
      <c r="H1" s="2"/>
    </row>
    <row r="2" spans="1:8" ht="15" thickBot="1" x14ac:dyDescent="0.35">
      <c r="A2" s="32"/>
      <c r="B2" s="32" t="s">
        <v>3</v>
      </c>
      <c r="C2" s="34" t="str">
        <f>VLOOKUP(C1,Table135[],2,0)</f>
        <v xml:space="preserve">- - </v>
      </c>
      <c r="D2" s="32"/>
      <c r="E2" s="32"/>
    </row>
    <row r="3" spans="1:8" ht="16.8" thickTop="1" thickBot="1" x14ac:dyDescent="0.35">
      <c r="A3" s="32"/>
      <c r="B3" s="32" t="s">
        <v>4</v>
      </c>
      <c r="C3" s="36"/>
      <c r="D3" s="102" t="s">
        <v>47</v>
      </c>
      <c r="E3" s="38" t="e">
        <f>C2*C3*(C5/1000)</f>
        <v>#VALUE!</v>
      </c>
      <c r="F3" s="2"/>
      <c r="G3" s="2"/>
      <c r="H3" s="2"/>
    </row>
    <row r="4" spans="1:8" ht="16.8" thickTop="1" thickBot="1" x14ac:dyDescent="0.35">
      <c r="A4" s="39" t="s">
        <v>6</v>
      </c>
      <c r="B4" s="32" t="s">
        <v>7</v>
      </c>
      <c r="C4" s="36">
        <v>1</v>
      </c>
      <c r="D4" s="102"/>
      <c r="E4" s="38">
        <f>(C5/100)*C4</f>
        <v>1</v>
      </c>
      <c r="F4" s="2"/>
      <c r="G4" s="2"/>
      <c r="H4" s="2"/>
    </row>
    <row r="5" spans="1:8" ht="17.399999999999999" thickTop="1" thickBot="1" x14ac:dyDescent="0.35">
      <c r="A5" s="32"/>
      <c r="B5" s="32" t="s">
        <v>48</v>
      </c>
      <c r="C5" s="36">
        <v>100</v>
      </c>
      <c r="D5" s="102"/>
      <c r="E5" s="40"/>
      <c r="F5" s="2"/>
      <c r="G5" s="2"/>
      <c r="H5" s="2"/>
    </row>
    <row r="6" spans="1:8" ht="15" thickTop="1" x14ac:dyDescent="0.3">
      <c r="A6" s="64"/>
      <c r="B6" s="65" t="s">
        <v>314</v>
      </c>
      <c r="C6" s="66"/>
      <c r="D6" s="64"/>
      <c r="E6" s="66"/>
    </row>
    <row r="9" spans="1:8" x14ac:dyDescent="0.3">
      <c r="B9" t="s">
        <v>9</v>
      </c>
      <c r="C9" s="1" t="s">
        <v>10</v>
      </c>
      <c r="E9"/>
    </row>
    <row r="10" spans="1:8" x14ac:dyDescent="0.3">
      <c r="B10" s="52" t="s">
        <v>218</v>
      </c>
      <c r="C10" s="79" t="s">
        <v>351</v>
      </c>
      <c r="E10"/>
    </row>
    <row r="11" spans="1:8" x14ac:dyDescent="0.3">
      <c r="B11" s="52" t="s">
        <v>219</v>
      </c>
      <c r="C11" s="5">
        <v>65.010000000000005</v>
      </c>
      <c r="E11"/>
    </row>
    <row r="12" spans="1:8" ht="17.25" customHeight="1" x14ac:dyDescent="0.3">
      <c r="B12" s="61" t="s">
        <v>220</v>
      </c>
      <c r="C12" s="5">
        <v>102.89</v>
      </c>
      <c r="E12"/>
    </row>
    <row r="13" spans="1:8" x14ac:dyDescent="0.3">
      <c r="B13" s="61" t="s">
        <v>221</v>
      </c>
      <c r="C13" s="5">
        <v>105.99</v>
      </c>
      <c r="E13"/>
    </row>
    <row r="14" spans="1:8" x14ac:dyDescent="0.3">
      <c r="B14" s="61" t="s">
        <v>222</v>
      </c>
      <c r="C14" s="5">
        <v>286.14</v>
      </c>
      <c r="E14"/>
    </row>
    <row r="15" spans="1:8" x14ac:dyDescent="0.3">
      <c r="B15" s="61" t="s">
        <v>223</v>
      </c>
      <c r="C15" s="5">
        <v>226.03</v>
      </c>
      <c r="E15"/>
    </row>
    <row r="16" spans="1:8" x14ac:dyDescent="0.3">
      <c r="B16" s="61" t="s">
        <v>224</v>
      </c>
      <c r="C16" s="5">
        <v>58.44</v>
      </c>
      <c r="E16"/>
    </row>
    <row r="17" spans="2:5" x14ac:dyDescent="0.3">
      <c r="B17" s="61" t="s">
        <v>225</v>
      </c>
      <c r="C17" s="5">
        <v>294.10000000000002</v>
      </c>
      <c r="E17"/>
    </row>
    <row r="18" spans="2:5" x14ac:dyDescent="0.3">
      <c r="B18" s="61" t="s">
        <v>226</v>
      </c>
      <c r="C18" s="5">
        <v>288.37</v>
      </c>
      <c r="E18"/>
    </row>
    <row r="19" spans="2:5" x14ac:dyDescent="0.3">
      <c r="B19" s="61" t="s">
        <v>227</v>
      </c>
      <c r="C19" s="5">
        <v>82.03</v>
      </c>
      <c r="E19"/>
    </row>
    <row r="20" spans="2:5" x14ac:dyDescent="0.3">
      <c r="B20" s="61" t="s">
        <v>228</v>
      </c>
      <c r="C20" s="5">
        <v>138.08000000000001</v>
      </c>
      <c r="E20"/>
    </row>
    <row r="21" spans="2:5" x14ac:dyDescent="0.3">
      <c r="B21" s="61" t="s">
        <v>229</v>
      </c>
      <c r="C21" s="5">
        <v>404.9</v>
      </c>
      <c r="E21"/>
    </row>
    <row r="22" spans="2:5" x14ac:dyDescent="0.3">
      <c r="B22" s="61" t="s">
        <v>230</v>
      </c>
      <c r="C22" s="5">
        <v>84.01</v>
      </c>
      <c r="E22"/>
    </row>
    <row r="23" spans="2:5" x14ac:dyDescent="0.3">
      <c r="B23" s="61" t="s">
        <v>231</v>
      </c>
      <c r="C23" s="5">
        <v>185.92</v>
      </c>
      <c r="E23"/>
    </row>
    <row r="24" spans="2:5" x14ac:dyDescent="0.3">
      <c r="B24" s="61" t="s">
        <v>232</v>
      </c>
      <c r="C24" s="5">
        <v>130.11000000000001</v>
      </c>
      <c r="E24"/>
    </row>
    <row r="25" spans="2:5" x14ac:dyDescent="0.3">
      <c r="B25" s="61" t="s">
        <v>233</v>
      </c>
      <c r="C25" s="5">
        <v>297.95</v>
      </c>
      <c r="E25"/>
    </row>
    <row r="26" spans="2:5" x14ac:dyDescent="0.3">
      <c r="B26" s="61" t="s">
        <v>234</v>
      </c>
      <c r="C26" s="5">
        <v>304.44</v>
      </c>
      <c r="E26"/>
    </row>
    <row r="27" spans="2:5" x14ac:dyDescent="0.3">
      <c r="B27" s="61" t="s">
        <v>235</v>
      </c>
      <c r="C27" s="5">
        <v>304.45999999999998</v>
      </c>
      <c r="E27"/>
    </row>
    <row r="28" spans="2:5" x14ac:dyDescent="0.3">
      <c r="B28" s="61" t="s">
        <v>236</v>
      </c>
      <c r="C28" s="5"/>
      <c r="E28"/>
    </row>
    <row r="29" spans="2:5" x14ac:dyDescent="0.3">
      <c r="B29" s="61" t="s">
        <v>237</v>
      </c>
      <c r="C29" s="5">
        <v>142.04</v>
      </c>
      <c r="E29"/>
    </row>
    <row r="30" spans="2:5" x14ac:dyDescent="0.3">
      <c r="B30" s="61" t="s">
        <v>238</v>
      </c>
      <c r="C30" s="5">
        <v>322.2</v>
      </c>
      <c r="E30"/>
    </row>
    <row r="31" spans="2:5" x14ac:dyDescent="0.3">
      <c r="B31" s="61" t="s">
        <v>239</v>
      </c>
      <c r="C31" s="5">
        <v>240.17</v>
      </c>
      <c r="E31"/>
    </row>
    <row r="32" spans="2:5" x14ac:dyDescent="0.3">
      <c r="B32" s="61" t="s">
        <v>240</v>
      </c>
      <c r="C32" s="5">
        <v>594.74</v>
      </c>
      <c r="E32"/>
    </row>
    <row r="33" spans="2:5" x14ac:dyDescent="0.3">
      <c r="B33" s="61" t="s">
        <v>241</v>
      </c>
      <c r="C33" s="5">
        <v>248.18</v>
      </c>
      <c r="E33"/>
    </row>
    <row r="34" spans="2:5" x14ac:dyDescent="0.3">
      <c r="C34" s="6"/>
    </row>
  </sheetData>
  <mergeCells count="1">
    <mergeCell ref="D3:D5"/>
  </mergeCells>
  <dataValidations count="1">
    <dataValidation type="list" allowBlank="1" showInputMessage="1" showErrorMessage="1" sqref="C1" xr:uid="{00000000-0002-0000-2E00-000000000000}">
      <formula1>$B$10:$B$33</formula1>
    </dataValidation>
  </dataValidations>
  <hyperlinks>
    <hyperlink ref="B6" location="'1'!A1" display="'1'!A1" xr:uid="{00000000-0004-0000-2E00-000000000000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H10"/>
  <sheetViews>
    <sheetView workbookViewId="0">
      <selection activeCell="A6" sqref="A6:E6"/>
    </sheetView>
  </sheetViews>
  <sheetFormatPr defaultRowHeight="14.4" x14ac:dyDescent="0.3"/>
  <cols>
    <col min="1" max="1" width="5.5546875" customWidth="1"/>
    <col min="2" max="2" width="23.33203125" customWidth="1"/>
    <col min="3" max="3" width="29.44140625" style="1" customWidth="1"/>
    <col min="4" max="4" width="23.88671875" customWidth="1"/>
    <col min="5" max="5" width="12.44140625" style="1" customWidth="1"/>
    <col min="6" max="6" width="4.6640625" customWidth="1"/>
    <col min="8" max="8" width="10.88671875" bestFit="1" customWidth="1"/>
  </cols>
  <sheetData>
    <row r="1" spans="1:8" ht="15.6" x14ac:dyDescent="0.3">
      <c r="A1" s="32"/>
      <c r="B1" s="54" t="s">
        <v>96</v>
      </c>
      <c r="C1" s="55" t="s">
        <v>242</v>
      </c>
      <c r="D1" s="33" t="s">
        <v>2</v>
      </c>
      <c r="E1" s="35">
        <f>IF(ISBLANK(C3),E4,E3)</f>
        <v>0</v>
      </c>
      <c r="H1" s="2"/>
    </row>
    <row r="2" spans="1:8" ht="15" thickBot="1" x14ac:dyDescent="0.35">
      <c r="A2" s="32"/>
      <c r="B2" s="56" t="s">
        <v>3</v>
      </c>
      <c r="C2" s="55">
        <v>40</v>
      </c>
      <c r="D2" s="33"/>
      <c r="E2" s="35"/>
    </row>
    <row r="3" spans="1:8" ht="16.8" thickTop="1" thickBot="1" x14ac:dyDescent="0.35">
      <c r="A3" s="32"/>
      <c r="B3" s="32" t="s">
        <v>4</v>
      </c>
      <c r="C3" s="36"/>
      <c r="D3" s="102" t="s">
        <v>47</v>
      </c>
      <c r="E3" s="38">
        <f>C2*C3*(C5/1000)</f>
        <v>0</v>
      </c>
      <c r="F3" s="2"/>
      <c r="G3" s="2"/>
      <c r="H3" s="2"/>
    </row>
    <row r="4" spans="1:8" ht="16.8" thickTop="1" thickBot="1" x14ac:dyDescent="0.35">
      <c r="A4" s="39" t="s">
        <v>6</v>
      </c>
      <c r="B4" s="32" t="s">
        <v>7</v>
      </c>
      <c r="C4" s="36"/>
      <c r="D4" s="102"/>
      <c r="E4" s="38">
        <f>(C5/100)*C4</f>
        <v>0</v>
      </c>
      <c r="F4" s="2"/>
      <c r="G4" s="2"/>
      <c r="H4" s="2"/>
    </row>
    <row r="5" spans="1:8" ht="17.399999999999999" thickTop="1" thickBot="1" x14ac:dyDescent="0.35">
      <c r="A5" s="32"/>
      <c r="B5" s="32" t="s">
        <v>48</v>
      </c>
      <c r="C5" s="36"/>
      <c r="D5" s="102"/>
      <c r="E5" s="40"/>
      <c r="F5" s="2"/>
      <c r="G5" s="2"/>
      <c r="H5" s="2"/>
    </row>
    <row r="6" spans="1:8" ht="15" thickTop="1" x14ac:dyDescent="0.3">
      <c r="A6" s="64"/>
      <c r="B6" s="65" t="s">
        <v>314</v>
      </c>
      <c r="C6" s="66"/>
      <c r="D6" s="64"/>
      <c r="E6" s="66"/>
    </row>
    <row r="9" spans="1:8" x14ac:dyDescent="0.3">
      <c r="C9" s="6"/>
    </row>
    <row r="10" spans="1:8" x14ac:dyDescent="0.3">
      <c r="C10" s="6"/>
    </row>
  </sheetData>
  <mergeCells count="1">
    <mergeCell ref="D3:D5"/>
  </mergeCells>
  <hyperlinks>
    <hyperlink ref="B6" location="'1'!A1" display="'1'!A1" xr:uid="{00000000-0004-0000-2F00-000000000000}"/>
  </hyperlink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H24"/>
  <sheetViews>
    <sheetView workbookViewId="0">
      <selection activeCell="A6" sqref="A6:E6"/>
    </sheetView>
  </sheetViews>
  <sheetFormatPr defaultRowHeight="14.4" x14ac:dyDescent="0.3"/>
  <cols>
    <col min="1" max="1" width="3.44140625" customWidth="1"/>
    <col min="2" max="2" width="22.5546875" customWidth="1"/>
    <col min="3" max="3" width="43.88671875" style="1" customWidth="1"/>
    <col min="4" max="4" width="20.88671875" customWidth="1"/>
    <col min="5" max="5" width="8.88671875" style="1" customWidth="1"/>
    <col min="6" max="6" width="4.6640625" customWidth="1"/>
    <col min="8" max="8" width="10.88671875" bestFit="1" customWidth="1"/>
  </cols>
  <sheetData>
    <row r="1" spans="1:8" ht="15.6" x14ac:dyDescent="0.3">
      <c r="A1" s="32"/>
      <c r="B1" s="33" t="s">
        <v>0</v>
      </c>
      <c r="C1" s="34" t="s">
        <v>243</v>
      </c>
      <c r="D1" s="33" t="s">
        <v>2</v>
      </c>
      <c r="E1" s="35">
        <f>IF(ISBLANK(C3),E4,E3)</f>
        <v>0</v>
      </c>
      <c r="H1" s="2"/>
    </row>
    <row r="2" spans="1:8" ht="15" thickBot="1" x14ac:dyDescent="0.35">
      <c r="A2" s="32"/>
      <c r="B2" s="32" t="s">
        <v>3</v>
      </c>
      <c r="C2" s="34">
        <f>VLOOKUP(C1,Table136[],2,0)</f>
        <v>136.19999999999999</v>
      </c>
      <c r="D2" s="32"/>
      <c r="E2" s="32"/>
    </row>
    <row r="3" spans="1:8" ht="16.8" thickTop="1" thickBot="1" x14ac:dyDescent="0.35">
      <c r="A3" s="32"/>
      <c r="B3" s="32" t="s">
        <v>4</v>
      </c>
      <c r="C3" s="36"/>
      <c r="D3" s="102" t="s">
        <v>47</v>
      </c>
      <c r="E3" s="38">
        <f>C2*C3*(C5/1000)</f>
        <v>0</v>
      </c>
      <c r="F3" s="2"/>
      <c r="G3" s="2"/>
      <c r="H3" s="2"/>
    </row>
    <row r="4" spans="1:8" ht="16.8" thickTop="1" thickBot="1" x14ac:dyDescent="0.35">
      <c r="A4" s="39" t="s">
        <v>6</v>
      </c>
      <c r="B4" s="32" t="s">
        <v>7</v>
      </c>
      <c r="C4" s="36"/>
      <c r="D4" s="102"/>
      <c r="E4" s="38">
        <f>(C5/100)*C4</f>
        <v>0</v>
      </c>
      <c r="F4" s="2"/>
      <c r="G4" s="2"/>
      <c r="H4" s="2"/>
    </row>
    <row r="5" spans="1:8" ht="17.399999999999999" thickTop="1" thickBot="1" x14ac:dyDescent="0.35">
      <c r="A5" s="32"/>
      <c r="B5" s="32" t="s">
        <v>48</v>
      </c>
      <c r="C5" s="36"/>
      <c r="D5" s="102"/>
      <c r="E5" s="40"/>
      <c r="F5" s="2"/>
      <c r="G5" s="2"/>
      <c r="H5" s="2"/>
    </row>
    <row r="6" spans="1:8" ht="15" thickTop="1" x14ac:dyDescent="0.3">
      <c r="A6" s="64"/>
      <c r="B6" s="65" t="s">
        <v>314</v>
      </c>
      <c r="C6" s="66"/>
      <c r="D6" s="64"/>
      <c r="E6" s="66"/>
    </row>
    <row r="9" spans="1:8" x14ac:dyDescent="0.3">
      <c r="B9" t="s">
        <v>9</v>
      </c>
      <c r="C9" s="1" t="s">
        <v>10</v>
      </c>
      <c r="E9"/>
    </row>
    <row r="10" spans="1:8" x14ac:dyDescent="0.3">
      <c r="B10" s="62" t="s">
        <v>244</v>
      </c>
      <c r="C10" s="5">
        <v>222.32</v>
      </c>
      <c r="E10"/>
    </row>
    <row r="11" spans="1:8" x14ac:dyDescent="0.3">
      <c r="B11" s="62" t="s">
        <v>245</v>
      </c>
      <c r="C11" s="5">
        <v>254.32</v>
      </c>
      <c r="E11"/>
    </row>
    <row r="12" spans="1:8" ht="17.25" customHeight="1" x14ac:dyDescent="0.3">
      <c r="B12" s="62" t="s">
        <v>243</v>
      </c>
      <c r="C12" s="5">
        <v>136.19999999999999</v>
      </c>
      <c r="E12"/>
    </row>
    <row r="13" spans="1:8" x14ac:dyDescent="0.3">
      <c r="B13" s="62" t="s">
        <v>246</v>
      </c>
      <c r="C13" s="5">
        <v>138.26</v>
      </c>
      <c r="E13"/>
    </row>
    <row r="14" spans="1:8" x14ac:dyDescent="0.3">
      <c r="B14" s="62" t="s">
        <v>247</v>
      </c>
      <c r="C14" s="5">
        <v>174.26</v>
      </c>
      <c r="E14"/>
    </row>
    <row r="15" spans="1:8" x14ac:dyDescent="0.3">
      <c r="B15" s="62" t="s">
        <v>248</v>
      </c>
      <c r="C15" s="5">
        <v>190.11</v>
      </c>
      <c r="E15"/>
    </row>
    <row r="16" spans="1:8" x14ac:dyDescent="0.3">
      <c r="B16" s="62" t="s">
        <v>249</v>
      </c>
      <c r="C16" s="5">
        <v>248.18</v>
      </c>
      <c r="E16"/>
    </row>
    <row r="17" spans="2:5" x14ac:dyDescent="0.3">
      <c r="B17" s="62" t="s">
        <v>250</v>
      </c>
      <c r="C17" s="5">
        <v>210.15</v>
      </c>
      <c r="E17"/>
    </row>
    <row r="18" spans="2:5" x14ac:dyDescent="0.3">
      <c r="B18" s="62" t="s">
        <v>251</v>
      </c>
      <c r="C18" s="5">
        <v>120.1</v>
      </c>
      <c r="E18"/>
    </row>
    <row r="19" spans="2:5" x14ac:dyDescent="0.3">
      <c r="B19" s="62" t="s">
        <v>252</v>
      </c>
      <c r="C19" s="5">
        <v>128.1</v>
      </c>
      <c r="E19"/>
    </row>
    <row r="20" spans="2:5" x14ac:dyDescent="0.3">
      <c r="B20" s="62" t="s">
        <v>253</v>
      </c>
      <c r="C20" s="5">
        <v>126.04</v>
      </c>
      <c r="E20"/>
    </row>
    <row r="21" spans="2:5" x14ac:dyDescent="0.3">
      <c r="B21" s="62" t="s">
        <v>254</v>
      </c>
      <c r="C21" s="5">
        <v>142.04</v>
      </c>
      <c r="E21"/>
    </row>
    <row r="22" spans="2:5" x14ac:dyDescent="0.3">
      <c r="B22" s="62" t="s">
        <v>255</v>
      </c>
      <c r="C22" s="5">
        <v>322.2</v>
      </c>
      <c r="E22"/>
    </row>
    <row r="23" spans="2:5" x14ac:dyDescent="0.3">
      <c r="B23" s="62" t="s">
        <v>241</v>
      </c>
      <c r="C23" s="5">
        <v>248.2</v>
      </c>
      <c r="E23"/>
    </row>
    <row r="24" spans="2:5" x14ac:dyDescent="0.3">
      <c r="C24" s="6"/>
    </row>
  </sheetData>
  <mergeCells count="1">
    <mergeCell ref="D3:D5"/>
  </mergeCells>
  <dataValidations count="1">
    <dataValidation type="list" allowBlank="1" showInputMessage="1" showErrorMessage="1" sqref="C1" xr:uid="{00000000-0002-0000-3000-000000000000}">
      <formula1>$B$10:$B$23</formula1>
    </dataValidation>
  </dataValidations>
  <hyperlinks>
    <hyperlink ref="B6" location="'1'!A1" display="'1'!A1" xr:uid="{00000000-0004-0000-3000-000000000000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E12"/>
  <sheetViews>
    <sheetView workbookViewId="0">
      <selection activeCell="A6" sqref="A6:E6"/>
    </sheetView>
  </sheetViews>
  <sheetFormatPr defaultRowHeight="14.4" x14ac:dyDescent="0.3"/>
  <cols>
    <col min="1" max="1" width="3.44140625" customWidth="1"/>
    <col min="2" max="2" width="22.5546875" customWidth="1"/>
    <col min="3" max="3" width="21.44140625" customWidth="1"/>
    <col min="4" max="4" width="25.88671875" customWidth="1"/>
    <col min="5" max="5" width="11.44140625" customWidth="1"/>
    <col min="6" max="6" width="6.5546875" customWidth="1"/>
  </cols>
  <sheetData>
    <row r="1" spans="1:5" ht="16.2" x14ac:dyDescent="0.3">
      <c r="A1" s="32"/>
      <c r="B1" s="32" t="s">
        <v>16</v>
      </c>
      <c r="C1" s="34" t="s">
        <v>27</v>
      </c>
      <c r="D1" s="33" t="s">
        <v>100</v>
      </c>
      <c r="E1" s="57">
        <f>IF(ISBLANK(C3),E4,E3)</f>
        <v>0</v>
      </c>
    </row>
    <row r="2" spans="1:5" ht="15" thickBot="1" x14ac:dyDescent="0.35">
      <c r="A2" s="32"/>
      <c r="B2" s="32" t="s">
        <v>19</v>
      </c>
      <c r="C2" s="34">
        <f>VLOOKUP(C1,Table137[[Original Conc]:[Conc]],2,0)</f>
        <v>1</v>
      </c>
      <c r="D2" s="33" t="s">
        <v>2</v>
      </c>
      <c r="E2" s="57">
        <f>IF(C1="Conc 98%",(E1*1.84),IF(C1="2M",(E1*1.135),(E1*1.07)))</f>
        <v>0</v>
      </c>
    </row>
    <row r="3" spans="1:5" ht="15.6" thickTop="1" thickBot="1" x14ac:dyDescent="0.35">
      <c r="A3" s="32"/>
      <c r="B3" s="32" t="s">
        <v>4</v>
      </c>
      <c r="C3" s="36"/>
      <c r="D3" s="102" t="s">
        <v>47</v>
      </c>
      <c r="E3" s="38">
        <f>(C3/C2)*C5</f>
        <v>0</v>
      </c>
    </row>
    <row r="4" spans="1:5" ht="15.6" thickTop="1" thickBot="1" x14ac:dyDescent="0.35">
      <c r="A4" s="39" t="s">
        <v>6</v>
      </c>
      <c r="B4" s="32" t="s">
        <v>7</v>
      </c>
      <c r="C4" s="36"/>
      <c r="D4" s="102"/>
      <c r="E4" s="38">
        <f>C5*(C4/E5)</f>
        <v>0</v>
      </c>
    </row>
    <row r="5" spans="1:5" ht="17.399999999999999" thickTop="1" thickBot="1" x14ac:dyDescent="0.35">
      <c r="A5" s="32"/>
      <c r="B5" s="32" t="s">
        <v>48</v>
      </c>
      <c r="C5" s="36"/>
      <c r="D5" s="102"/>
      <c r="E5" s="58">
        <f>VLOOKUP(C1,Table137[],3,0)</f>
        <v>5.38</v>
      </c>
    </row>
    <row r="6" spans="1:5" ht="15" thickTop="1" x14ac:dyDescent="0.3">
      <c r="A6" s="64"/>
      <c r="B6" s="65" t="s">
        <v>314</v>
      </c>
      <c r="C6" s="66"/>
      <c r="D6" s="64"/>
      <c r="E6" s="66"/>
    </row>
    <row r="9" spans="1:5" x14ac:dyDescent="0.3">
      <c r="B9" s="24" t="s">
        <v>22</v>
      </c>
      <c r="C9" s="24" t="s">
        <v>23</v>
      </c>
      <c r="D9" s="24" t="s">
        <v>24</v>
      </c>
    </row>
    <row r="10" spans="1:5" x14ac:dyDescent="0.3">
      <c r="B10" s="25" t="s">
        <v>256</v>
      </c>
      <c r="C10" s="1">
        <v>18.399999999999999</v>
      </c>
      <c r="D10" s="26">
        <v>98</v>
      </c>
    </row>
    <row r="11" spans="1:5" x14ac:dyDescent="0.3">
      <c r="B11" s="1" t="s">
        <v>26</v>
      </c>
      <c r="C11" s="1">
        <v>2</v>
      </c>
      <c r="D11" s="26">
        <v>10.65</v>
      </c>
    </row>
    <row r="12" spans="1:5" x14ac:dyDescent="0.3">
      <c r="B12" s="25" t="s">
        <v>27</v>
      </c>
      <c r="C12" s="1">
        <v>1</v>
      </c>
      <c r="D12" s="26">
        <v>5.38</v>
      </c>
    </row>
  </sheetData>
  <mergeCells count="1">
    <mergeCell ref="D3:D5"/>
  </mergeCells>
  <dataValidations count="1">
    <dataValidation type="list" allowBlank="1" showInputMessage="1" showErrorMessage="1" sqref="C1" xr:uid="{00000000-0002-0000-3100-000000000000}">
      <formula1>$B$10:$B$12</formula1>
    </dataValidation>
  </dataValidations>
  <hyperlinks>
    <hyperlink ref="B6" location="'1'!A1" display="'1'!A1" xr:uid="{00000000-0004-0000-3100-000000000000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H16"/>
  <sheetViews>
    <sheetView workbookViewId="0">
      <selection activeCell="A6" sqref="A6:E6"/>
    </sheetView>
  </sheetViews>
  <sheetFormatPr defaultRowHeight="14.4" x14ac:dyDescent="0.3"/>
  <cols>
    <col min="1" max="1" width="3.44140625" customWidth="1"/>
    <col min="2" max="2" width="22.5546875" customWidth="1"/>
    <col min="3" max="3" width="30.33203125" style="1" customWidth="1"/>
    <col min="4" max="4" width="20.88671875" customWidth="1"/>
    <col min="5" max="5" width="8.88671875" style="1" customWidth="1"/>
    <col min="6" max="6" width="4.6640625" customWidth="1"/>
    <col min="8" max="8" width="10.88671875" bestFit="1" customWidth="1"/>
  </cols>
  <sheetData>
    <row r="1" spans="1:8" ht="15.6" x14ac:dyDescent="0.3">
      <c r="A1" s="7"/>
      <c r="B1" s="8" t="s">
        <v>0</v>
      </c>
      <c r="C1" s="9" t="s">
        <v>44</v>
      </c>
      <c r="D1" s="8" t="s">
        <v>2</v>
      </c>
      <c r="E1" s="10">
        <f>IF(ISBLANK(C3),E4,E3)</f>
        <v>0</v>
      </c>
      <c r="H1" s="2"/>
    </row>
    <row r="2" spans="1:8" ht="15" thickBot="1" x14ac:dyDescent="0.35">
      <c r="A2" s="7"/>
      <c r="B2" s="7" t="s">
        <v>3</v>
      </c>
      <c r="C2" s="9">
        <f>VLOOKUP(C1,Table138[],2,0)</f>
        <v>76.099999999999994</v>
      </c>
      <c r="D2" s="7"/>
      <c r="E2" s="7"/>
    </row>
    <row r="3" spans="1:8" ht="16.8" thickTop="1" thickBot="1" x14ac:dyDescent="0.35">
      <c r="A3" s="7"/>
      <c r="B3" s="7" t="s">
        <v>4</v>
      </c>
      <c r="C3" s="11"/>
      <c r="D3" s="98" t="s">
        <v>5</v>
      </c>
      <c r="E3" s="12">
        <f>C2*C3*(C5/1000)</f>
        <v>0</v>
      </c>
      <c r="F3" s="2"/>
      <c r="G3" s="2"/>
      <c r="H3" s="2"/>
    </row>
    <row r="4" spans="1:8" ht="16.8" thickTop="1" thickBot="1" x14ac:dyDescent="0.35">
      <c r="A4" s="13" t="s">
        <v>6</v>
      </c>
      <c r="B4" s="7" t="s">
        <v>7</v>
      </c>
      <c r="C4" s="11"/>
      <c r="D4" s="98"/>
      <c r="E4" s="12">
        <f>(C5/100)*C4</f>
        <v>0</v>
      </c>
      <c r="F4" s="2"/>
      <c r="G4" s="2"/>
      <c r="H4" s="2"/>
    </row>
    <row r="5" spans="1:8" ht="17.399999999999999" thickTop="1" thickBot="1" x14ac:dyDescent="0.35">
      <c r="A5" s="7"/>
      <c r="B5" s="7" t="s">
        <v>8</v>
      </c>
      <c r="C5" s="11"/>
      <c r="D5" s="98"/>
      <c r="E5" s="14"/>
      <c r="F5" s="2"/>
      <c r="G5" s="2"/>
      <c r="H5" s="2"/>
    </row>
    <row r="6" spans="1:8" ht="15" thickTop="1" x14ac:dyDescent="0.3">
      <c r="A6" s="64"/>
      <c r="B6" s="65" t="s">
        <v>314</v>
      </c>
      <c r="C6" s="66"/>
      <c r="D6" s="64"/>
      <c r="E6" s="66"/>
    </row>
    <row r="9" spans="1:8" x14ac:dyDescent="0.3">
      <c r="B9" t="s">
        <v>9</v>
      </c>
      <c r="C9" s="1" t="s">
        <v>10</v>
      </c>
      <c r="E9"/>
    </row>
    <row r="10" spans="1:8" x14ac:dyDescent="0.3">
      <c r="B10" s="61" t="s">
        <v>44</v>
      </c>
      <c r="C10" s="51">
        <v>76.099999999999994</v>
      </c>
      <c r="E10"/>
    </row>
    <row r="11" spans="1:8" x14ac:dyDescent="0.3">
      <c r="B11" s="61" t="s">
        <v>257</v>
      </c>
      <c r="C11" s="51">
        <v>97.2</v>
      </c>
      <c r="E11"/>
    </row>
    <row r="12" spans="1:8" x14ac:dyDescent="0.3">
      <c r="B12" s="61" t="s">
        <v>258</v>
      </c>
      <c r="C12" s="51">
        <v>81.099999999999994</v>
      </c>
      <c r="E12"/>
    </row>
    <row r="13" spans="1:8" x14ac:dyDescent="0.3">
      <c r="B13" s="3"/>
      <c r="C13" s="5"/>
      <c r="D13" s="3"/>
      <c r="E13" s="3"/>
      <c r="F13" s="3"/>
    </row>
    <row r="14" spans="1:8" x14ac:dyDescent="0.3">
      <c r="C14" s="6"/>
    </row>
    <row r="16" spans="1:8" x14ac:dyDescent="0.3">
      <c r="E16" s="1" t="s">
        <v>259</v>
      </c>
    </row>
  </sheetData>
  <mergeCells count="1">
    <mergeCell ref="D3:D5"/>
  </mergeCells>
  <dataValidations count="1">
    <dataValidation type="list" allowBlank="1" showInputMessage="1" showErrorMessage="1" sqref="C1" xr:uid="{00000000-0002-0000-3200-000000000000}">
      <formula1>$B$10:$B$12</formula1>
    </dataValidation>
  </dataValidations>
  <hyperlinks>
    <hyperlink ref="B6" location="'1'!A1" display="'1'!A1" xr:uid="{00000000-0004-0000-3200-000000000000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H14"/>
  <sheetViews>
    <sheetView workbookViewId="0">
      <selection activeCell="A6" sqref="A6:E6"/>
    </sheetView>
  </sheetViews>
  <sheetFormatPr defaultRowHeight="14.4" x14ac:dyDescent="0.3"/>
  <cols>
    <col min="1" max="1" width="3.44140625" customWidth="1"/>
    <col min="2" max="2" width="22.5546875" customWidth="1"/>
    <col min="3" max="3" width="30.88671875" style="1" customWidth="1"/>
    <col min="4" max="4" width="20.88671875" customWidth="1"/>
    <col min="5" max="5" width="8.88671875" style="1" customWidth="1"/>
    <col min="6" max="6" width="4.6640625" customWidth="1"/>
    <col min="8" max="8" width="10.88671875" bestFit="1" customWidth="1"/>
  </cols>
  <sheetData>
    <row r="1" spans="1:8" ht="15.6" x14ac:dyDescent="0.3">
      <c r="A1" s="32"/>
      <c r="B1" s="33" t="s">
        <v>0</v>
      </c>
      <c r="C1" s="34" t="s">
        <v>260</v>
      </c>
      <c r="D1" s="33" t="s">
        <v>2</v>
      </c>
      <c r="E1" s="35">
        <f>IF(ISBLANK(C3),E4,E3)</f>
        <v>0</v>
      </c>
      <c r="H1" s="2"/>
    </row>
    <row r="2" spans="1:8" ht="15" thickBot="1" x14ac:dyDescent="0.35">
      <c r="A2" s="32"/>
      <c r="B2" s="32" t="s">
        <v>3</v>
      </c>
      <c r="C2" s="34">
        <f>VLOOKUP(C1,Table139[],2,0)</f>
        <v>189.6</v>
      </c>
      <c r="D2" s="32"/>
      <c r="E2" s="32"/>
    </row>
    <row r="3" spans="1:8" ht="16.8" thickTop="1" thickBot="1" x14ac:dyDescent="0.35">
      <c r="A3" s="32"/>
      <c r="B3" s="32" t="s">
        <v>4</v>
      </c>
      <c r="C3" s="36"/>
      <c r="D3" s="102" t="s">
        <v>47</v>
      </c>
      <c r="E3" s="38">
        <f>C2*C3*(C5/1000)</f>
        <v>0</v>
      </c>
      <c r="F3" s="2"/>
      <c r="G3" s="2"/>
      <c r="H3" s="2"/>
    </row>
    <row r="4" spans="1:8" ht="16.8" thickTop="1" thickBot="1" x14ac:dyDescent="0.35">
      <c r="A4" s="39" t="s">
        <v>6</v>
      </c>
      <c r="B4" s="32" t="s">
        <v>7</v>
      </c>
      <c r="C4" s="36"/>
      <c r="D4" s="102"/>
      <c r="E4" s="38">
        <f>(C5/100)*C4</f>
        <v>0</v>
      </c>
      <c r="F4" s="2"/>
      <c r="G4" s="2"/>
      <c r="H4" s="2"/>
    </row>
    <row r="5" spans="1:8" ht="17.399999999999999" thickTop="1" thickBot="1" x14ac:dyDescent="0.35">
      <c r="A5" s="32"/>
      <c r="B5" s="32" t="s">
        <v>48</v>
      </c>
      <c r="C5" s="36"/>
      <c r="D5" s="102"/>
      <c r="E5" s="40"/>
      <c r="F5" s="2"/>
      <c r="G5" s="2"/>
      <c r="H5" s="2"/>
    </row>
    <row r="6" spans="1:8" ht="15" thickTop="1" x14ac:dyDescent="0.3">
      <c r="A6" s="64"/>
      <c r="B6" s="65" t="s">
        <v>314</v>
      </c>
      <c r="C6" s="66"/>
      <c r="D6" s="64"/>
      <c r="E6" s="66"/>
    </row>
    <row r="9" spans="1:8" x14ac:dyDescent="0.3">
      <c r="B9" t="s">
        <v>9</v>
      </c>
      <c r="C9" s="1" t="s">
        <v>10</v>
      </c>
      <c r="E9"/>
    </row>
    <row r="10" spans="1:8" x14ac:dyDescent="0.3">
      <c r="B10" s="61" t="s">
        <v>260</v>
      </c>
      <c r="C10" s="5">
        <v>189.6</v>
      </c>
      <c r="E10"/>
    </row>
    <row r="11" spans="1:8" ht="17.25" customHeight="1" x14ac:dyDescent="0.3">
      <c r="B11" s="61" t="s">
        <v>261</v>
      </c>
      <c r="C11" s="5">
        <v>225.6</v>
      </c>
      <c r="E11"/>
    </row>
    <row r="12" spans="1:8" x14ac:dyDescent="0.3">
      <c r="B12" s="61" t="s">
        <v>262</v>
      </c>
      <c r="C12" s="5">
        <v>214.8</v>
      </c>
      <c r="E12"/>
    </row>
    <row r="13" spans="1:8" x14ac:dyDescent="0.3">
      <c r="B13" s="61"/>
      <c r="C13" s="5"/>
      <c r="E13"/>
    </row>
    <row r="14" spans="1:8" x14ac:dyDescent="0.3">
      <c r="C14" s="6"/>
    </row>
  </sheetData>
  <mergeCells count="1">
    <mergeCell ref="D3:D5"/>
  </mergeCells>
  <dataValidations count="1">
    <dataValidation type="list" allowBlank="1" showInputMessage="1" showErrorMessage="1" sqref="C1" xr:uid="{00000000-0002-0000-3300-000000000000}">
      <formula1>$B$10:$B$13</formula1>
    </dataValidation>
  </dataValidations>
  <hyperlinks>
    <hyperlink ref="B6" location="'1'!A1" display="'1'!A1" xr:uid="{00000000-0004-0000-3300-000000000000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H13"/>
  <sheetViews>
    <sheetView workbookViewId="0">
      <selection activeCell="A6" sqref="A6:E6"/>
    </sheetView>
  </sheetViews>
  <sheetFormatPr defaultRowHeight="14.4" x14ac:dyDescent="0.3"/>
  <cols>
    <col min="1" max="1" width="4.33203125" customWidth="1"/>
    <col min="2" max="2" width="22.6640625" customWidth="1"/>
    <col min="3" max="3" width="27.6640625" style="1" customWidth="1"/>
    <col min="4" max="4" width="21.44140625" customWidth="1"/>
    <col min="5" max="5" width="10.44140625" style="1" customWidth="1"/>
    <col min="6" max="6" width="4.6640625" customWidth="1"/>
    <col min="8" max="8" width="10.88671875" bestFit="1" customWidth="1"/>
  </cols>
  <sheetData>
    <row r="1" spans="1:8" ht="15.6" x14ac:dyDescent="0.3">
      <c r="A1" s="32"/>
      <c r="B1" s="33" t="s">
        <v>0</v>
      </c>
      <c r="C1" s="34" t="s">
        <v>263</v>
      </c>
      <c r="D1" s="33" t="s">
        <v>2</v>
      </c>
      <c r="E1" s="35">
        <f>IF(ISBLANK(C3),E4,E3)</f>
        <v>11.700000000000001</v>
      </c>
      <c r="H1" s="2"/>
    </row>
    <row r="2" spans="1:8" ht="15" thickBot="1" x14ac:dyDescent="0.35">
      <c r="A2" s="32"/>
      <c r="B2" s="32" t="s">
        <v>3</v>
      </c>
      <c r="C2" s="34">
        <f>VLOOKUP(C1,Table140[],2,0)</f>
        <v>117</v>
      </c>
      <c r="D2" s="32"/>
      <c r="E2" s="32"/>
    </row>
    <row r="3" spans="1:8" ht="16.8" thickTop="1" thickBot="1" x14ac:dyDescent="0.35">
      <c r="A3" s="32"/>
      <c r="B3" s="32" t="s">
        <v>4</v>
      </c>
      <c r="C3" s="36">
        <v>1</v>
      </c>
      <c r="D3" s="102" t="s">
        <v>47</v>
      </c>
      <c r="E3" s="38">
        <f>C2*C3*(C5/1000)</f>
        <v>11.700000000000001</v>
      </c>
      <c r="F3" s="2"/>
      <c r="G3" s="2"/>
      <c r="H3" s="2"/>
    </row>
    <row r="4" spans="1:8" ht="16.8" thickTop="1" thickBot="1" x14ac:dyDescent="0.35">
      <c r="A4" s="39" t="s">
        <v>6</v>
      </c>
      <c r="B4" s="32" t="s">
        <v>7</v>
      </c>
      <c r="C4" s="36"/>
      <c r="D4" s="102"/>
      <c r="E4" s="38">
        <f>(C5/100)*C4</f>
        <v>0</v>
      </c>
      <c r="F4" s="2"/>
      <c r="G4" s="2"/>
      <c r="H4" s="2"/>
    </row>
    <row r="5" spans="1:8" ht="17.399999999999999" thickTop="1" thickBot="1" x14ac:dyDescent="0.35">
      <c r="A5" s="32"/>
      <c r="B5" s="32" t="s">
        <v>48</v>
      </c>
      <c r="C5" s="36">
        <v>100</v>
      </c>
      <c r="D5" s="102"/>
      <c r="E5" s="40"/>
      <c r="F5" s="2"/>
      <c r="G5" s="2"/>
      <c r="H5" s="2"/>
    </row>
    <row r="6" spans="1:8" ht="15" thickTop="1" x14ac:dyDescent="0.3">
      <c r="A6" s="64"/>
      <c r="B6" s="65" t="s">
        <v>314</v>
      </c>
      <c r="C6" s="66"/>
      <c r="D6" s="64"/>
      <c r="E6" s="66"/>
    </row>
    <row r="9" spans="1:8" x14ac:dyDescent="0.3">
      <c r="B9" t="s">
        <v>9</v>
      </c>
      <c r="C9" s="1" t="s">
        <v>10</v>
      </c>
      <c r="E9"/>
    </row>
    <row r="10" spans="1:8" x14ac:dyDescent="0.3">
      <c r="B10" s="3" t="s">
        <v>263</v>
      </c>
      <c r="C10" s="5">
        <v>117</v>
      </c>
      <c r="D10" s="3"/>
      <c r="E10" s="3"/>
      <c r="F10" s="4"/>
    </row>
    <row r="11" spans="1:8" x14ac:dyDescent="0.3">
      <c r="B11" s="3" t="s">
        <v>264</v>
      </c>
      <c r="C11" s="5">
        <v>121</v>
      </c>
      <c r="D11" s="3"/>
      <c r="E11" s="3"/>
      <c r="F11" s="3"/>
    </row>
    <row r="12" spans="1:8" x14ac:dyDescent="0.3">
      <c r="C12" s="6"/>
    </row>
    <row r="13" spans="1:8" x14ac:dyDescent="0.3">
      <c r="C13" s="6"/>
    </row>
  </sheetData>
  <mergeCells count="1">
    <mergeCell ref="D3:D5"/>
  </mergeCells>
  <dataValidations count="1">
    <dataValidation type="list" allowBlank="1" showInputMessage="1" showErrorMessage="1" sqref="C1" xr:uid="{00000000-0002-0000-3400-000000000000}">
      <formula1>$B$10:$B$11</formula1>
    </dataValidation>
  </dataValidations>
  <hyperlinks>
    <hyperlink ref="B6" location="'1'!A1" display="'1'!A1" xr:uid="{00000000-0004-0000-3400-000000000000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H14"/>
  <sheetViews>
    <sheetView tabSelected="1" workbookViewId="0">
      <selection activeCell="C19" sqref="C19"/>
    </sheetView>
  </sheetViews>
  <sheetFormatPr defaultRowHeight="14.4" x14ac:dyDescent="0.3"/>
  <cols>
    <col min="1" max="1" width="3.44140625" customWidth="1"/>
    <col min="2" max="2" width="22.5546875" customWidth="1"/>
    <col min="3" max="3" width="30.33203125" style="1" customWidth="1"/>
    <col min="4" max="4" width="20.88671875" customWidth="1"/>
    <col min="5" max="5" width="8.88671875" style="1" customWidth="1"/>
    <col min="6" max="6" width="4.6640625" customWidth="1"/>
    <col min="8" max="8" width="10.88671875" bestFit="1" customWidth="1"/>
  </cols>
  <sheetData>
    <row r="1" spans="1:8" ht="15.6" x14ac:dyDescent="0.3">
      <c r="A1" s="32"/>
      <c r="B1" s="33" t="s">
        <v>0</v>
      </c>
      <c r="C1" s="34" t="s">
        <v>265</v>
      </c>
      <c r="D1" s="33" t="s">
        <v>2</v>
      </c>
      <c r="E1" s="35">
        <f>IF(ISBLANK(C3),E4,E3)</f>
        <v>0</v>
      </c>
      <c r="H1" s="2"/>
    </row>
    <row r="2" spans="1:8" ht="15" thickBot="1" x14ac:dyDescent="0.35">
      <c r="A2" s="32"/>
      <c r="B2" s="32" t="s">
        <v>3</v>
      </c>
      <c r="C2" s="34">
        <f>VLOOKUP(C1,Table141[],2,0)</f>
        <v>136.30000000000001</v>
      </c>
      <c r="D2" s="32"/>
      <c r="E2" s="32"/>
    </row>
    <row r="3" spans="1:8" ht="16.8" thickTop="1" thickBot="1" x14ac:dyDescent="0.35">
      <c r="A3" s="32"/>
      <c r="B3" s="32" t="s">
        <v>4</v>
      </c>
      <c r="C3" s="36"/>
      <c r="D3" s="102" t="s">
        <v>47</v>
      </c>
      <c r="E3" s="38">
        <f>C2*C3*(C5/1000)</f>
        <v>0</v>
      </c>
      <c r="F3" s="2"/>
      <c r="G3" s="2"/>
      <c r="H3" s="2"/>
    </row>
    <row r="4" spans="1:8" ht="16.8" thickTop="1" thickBot="1" x14ac:dyDescent="0.35">
      <c r="A4" s="39" t="s">
        <v>6</v>
      </c>
      <c r="B4" s="32" t="s">
        <v>7</v>
      </c>
      <c r="C4" s="36"/>
      <c r="D4" s="102"/>
      <c r="E4" s="38">
        <f>(C5/100)*C4</f>
        <v>0</v>
      </c>
      <c r="F4" s="2"/>
      <c r="G4" s="2"/>
      <c r="H4" s="2"/>
    </row>
    <row r="5" spans="1:8" ht="17.399999999999999" thickTop="1" thickBot="1" x14ac:dyDescent="0.35">
      <c r="A5" s="32"/>
      <c r="B5" s="32" t="s">
        <v>48</v>
      </c>
      <c r="C5" s="36"/>
      <c r="D5" s="102"/>
      <c r="E5" s="40"/>
      <c r="F5" s="2"/>
      <c r="G5" s="2"/>
      <c r="H5" s="2"/>
    </row>
    <row r="6" spans="1:8" ht="15" thickTop="1" x14ac:dyDescent="0.3">
      <c r="A6" s="64"/>
      <c r="B6" s="65" t="s">
        <v>314</v>
      </c>
      <c r="C6" s="66"/>
      <c r="D6" s="64"/>
      <c r="E6" s="66"/>
    </row>
    <row r="9" spans="1:8" x14ac:dyDescent="0.3">
      <c r="B9" t="s">
        <v>9</v>
      </c>
      <c r="C9" s="1" t="s">
        <v>10</v>
      </c>
      <c r="E9"/>
    </row>
    <row r="10" spans="1:8" x14ac:dyDescent="0.3">
      <c r="B10" s="61" t="s">
        <v>265</v>
      </c>
      <c r="C10" s="5">
        <v>136.30000000000001</v>
      </c>
      <c r="E10"/>
    </row>
    <row r="11" spans="1:8" ht="17.25" customHeight="1" x14ac:dyDescent="0.3">
      <c r="B11" s="61" t="s">
        <v>266</v>
      </c>
      <c r="C11" s="5">
        <v>319.3</v>
      </c>
      <c r="E11"/>
    </row>
    <row r="12" spans="1:8" x14ac:dyDescent="0.3">
      <c r="B12" s="61" t="s">
        <v>267</v>
      </c>
      <c r="C12" s="5">
        <v>297.5</v>
      </c>
      <c r="E12"/>
    </row>
    <row r="13" spans="1:8" x14ac:dyDescent="0.3">
      <c r="B13" s="61" t="s">
        <v>268</v>
      </c>
      <c r="C13" s="5">
        <v>287.5</v>
      </c>
      <c r="E13"/>
    </row>
    <row r="14" spans="1:8" x14ac:dyDescent="0.3">
      <c r="C14" s="6"/>
    </row>
  </sheetData>
  <mergeCells count="1">
    <mergeCell ref="D3:D5"/>
  </mergeCells>
  <dataValidations count="1">
    <dataValidation type="list" allowBlank="1" showInputMessage="1" showErrorMessage="1" sqref="C1" xr:uid="{00000000-0002-0000-3500-000000000000}">
      <formula1>$B$10:$B$13</formula1>
    </dataValidation>
  </dataValidations>
  <hyperlinks>
    <hyperlink ref="B6" location="'1'!A1" display="'1'!A1" xr:uid="{00000000-0004-0000-3500-000000000000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A6" sqref="A6:E6"/>
    </sheetView>
  </sheetViews>
  <sheetFormatPr defaultRowHeight="14.4" x14ac:dyDescent="0.3"/>
  <cols>
    <col min="1" max="1" width="2" customWidth="1"/>
    <col min="2" max="2" width="21.88671875" customWidth="1"/>
    <col min="3" max="3" width="16.44140625" style="1" customWidth="1"/>
    <col min="4" max="4" width="29.5546875" customWidth="1"/>
    <col min="5" max="5" width="12.44140625" style="1" customWidth="1"/>
    <col min="6" max="6" width="4.6640625" customWidth="1"/>
    <col min="8" max="8" width="10.88671875" bestFit="1" customWidth="1"/>
  </cols>
  <sheetData>
    <row r="1" spans="1:8" ht="17.399999999999999" x14ac:dyDescent="0.3">
      <c r="A1" s="15"/>
      <c r="B1" s="33" t="s">
        <v>56</v>
      </c>
      <c r="C1" s="17" t="s">
        <v>57</v>
      </c>
      <c r="D1" s="18"/>
      <c r="E1" s="44">
        <f>IF(C1="Qualitative",0,1)</f>
        <v>0</v>
      </c>
      <c r="H1" s="2"/>
    </row>
    <row r="2" spans="1:8" ht="16.8" thickBot="1" x14ac:dyDescent="0.35">
      <c r="A2" s="15"/>
      <c r="B2" s="32" t="s">
        <v>48</v>
      </c>
      <c r="C2" s="34"/>
      <c r="D2" s="45"/>
      <c r="E2" s="46"/>
    </row>
    <row r="3" spans="1:8" ht="16.8" thickTop="1" thickBot="1" x14ac:dyDescent="0.35">
      <c r="A3" s="15"/>
      <c r="B3" s="33" t="s">
        <v>58</v>
      </c>
      <c r="C3" s="47">
        <f>IF($C$1="Qualitative",130*($C$2/1000),100*($C$2/1000))</f>
        <v>0</v>
      </c>
      <c r="D3" s="48" t="s">
        <v>59</v>
      </c>
      <c r="E3" s="47">
        <f>IF($C$1="Qualitative",0,125*($C$2/1000))</f>
        <v>0</v>
      </c>
      <c r="F3" s="2"/>
      <c r="G3" s="2"/>
      <c r="H3" s="2"/>
    </row>
    <row r="4" spans="1:8" ht="16.8" thickTop="1" thickBot="1" x14ac:dyDescent="0.35">
      <c r="A4" s="22"/>
      <c r="B4" s="33" t="s">
        <v>60</v>
      </c>
      <c r="C4" s="47">
        <f>IF(C1="Qualitative",86*(C2/1000),100*(C2/1000))</f>
        <v>0</v>
      </c>
      <c r="D4" s="48" t="s">
        <v>61</v>
      </c>
      <c r="E4" s="47">
        <f>IF($C$1="Qualitative",0,2*($C$2/1000))</f>
        <v>0</v>
      </c>
      <c r="F4" s="2"/>
      <c r="G4" s="2"/>
      <c r="H4" s="2"/>
    </row>
    <row r="5" spans="1:8" ht="16.8" thickTop="1" thickBot="1" x14ac:dyDescent="0.35">
      <c r="A5" s="16"/>
      <c r="B5" s="33" t="s">
        <v>62</v>
      </c>
      <c r="C5" s="47">
        <f>IF(C1="Qualitative",8.7*(C2/1000),18*(C2/1000))</f>
        <v>0</v>
      </c>
      <c r="D5" s="49"/>
      <c r="E5" s="50"/>
      <c r="F5" s="2"/>
      <c r="G5" s="2"/>
      <c r="H5" s="2"/>
    </row>
    <row r="6" spans="1:8" ht="15" thickTop="1" x14ac:dyDescent="0.3">
      <c r="A6" s="64"/>
      <c r="B6" s="65" t="s">
        <v>314</v>
      </c>
      <c r="C6" s="66"/>
      <c r="D6" s="64"/>
      <c r="E6" s="66"/>
    </row>
    <row r="9" spans="1:8" x14ac:dyDescent="0.3">
      <c r="B9" t="s">
        <v>9</v>
      </c>
      <c r="C9" s="1" t="s">
        <v>10</v>
      </c>
      <c r="E9"/>
    </row>
    <row r="10" spans="1:8" x14ac:dyDescent="0.3">
      <c r="B10" s="3" t="s">
        <v>57</v>
      </c>
      <c r="C10" s="51"/>
      <c r="E10"/>
    </row>
    <row r="11" spans="1:8" x14ac:dyDescent="0.3">
      <c r="B11" s="3" t="s">
        <v>63</v>
      </c>
      <c r="C11" s="51"/>
      <c r="E11"/>
    </row>
    <row r="12" spans="1:8" x14ac:dyDescent="0.3">
      <c r="C12" s="6"/>
    </row>
    <row r="13" spans="1:8" x14ac:dyDescent="0.3">
      <c r="C13" s="6"/>
    </row>
  </sheetData>
  <conditionalFormatting sqref="D3:D4">
    <cfRule type="expression" dxfId="119" priority="2">
      <formula>$E$1=0</formula>
    </cfRule>
  </conditionalFormatting>
  <conditionalFormatting sqref="E3:E4">
    <cfRule type="expression" dxfId="118" priority="1">
      <formula>$E$1=0</formula>
    </cfRule>
  </conditionalFormatting>
  <dataValidations count="1">
    <dataValidation type="list" allowBlank="1" showInputMessage="1" showErrorMessage="1" sqref="C1" xr:uid="{00000000-0002-0000-0500-000000000000}">
      <formula1>$B$10:$B$11</formula1>
    </dataValidation>
  </dataValidations>
  <hyperlinks>
    <hyperlink ref="B6" location="'1'!A1" display="'1'!A1" xr:uid="{00000000-0004-0000-0500-000000000000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1"/>
  <sheetViews>
    <sheetView workbookViewId="0">
      <selection activeCell="A6" sqref="A6:E6"/>
    </sheetView>
  </sheetViews>
  <sheetFormatPr defaultRowHeight="14.4" x14ac:dyDescent="0.3"/>
  <cols>
    <col min="1" max="1" width="5.5546875" customWidth="1"/>
    <col min="2" max="2" width="22.33203125" customWidth="1"/>
    <col min="3" max="3" width="33.5546875" style="1" customWidth="1"/>
    <col min="4" max="4" width="22" customWidth="1"/>
    <col min="5" max="5" width="10.44140625" style="1" customWidth="1"/>
    <col min="6" max="6" width="4.6640625" customWidth="1"/>
    <col min="8" max="8" width="10.88671875" bestFit="1" customWidth="1"/>
  </cols>
  <sheetData>
    <row r="1" spans="1:8" ht="15.6" x14ac:dyDescent="0.3">
      <c r="A1" s="32"/>
      <c r="B1" s="33" t="s">
        <v>64</v>
      </c>
      <c r="C1" s="34" t="s">
        <v>65</v>
      </c>
      <c r="D1" s="33" t="s">
        <v>2</v>
      </c>
      <c r="E1" s="35">
        <f>IF(ISBLANK(C3),E4,E3)</f>
        <v>0</v>
      </c>
      <c r="H1" s="2"/>
    </row>
    <row r="2" spans="1:8" ht="15" thickBot="1" x14ac:dyDescent="0.35">
      <c r="A2" s="32"/>
      <c r="B2" s="32" t="s">
        <v>3</v>
      </c>
      <c r="C2" s="34">
        <v>395</v>
      </c>
      <c r="D2" s="32"/>
      <c r="E2" s="32"/>
    </row>
    <row r="3" spans="1:8" ht="17.25" customHeight="1" thickTop="1" thickBot="1" x14ac:dyDescent="0.35">
      <c r="A3" s="32"/>
      <c r="B3" s="32" t="s">
        <v>4</v>
      </c>
      <c r="C3" s="36"/>
      <c r="D3" s="99" t="s">
        <v>20</v>
      </c>
      <c r="E3" s="38">
        <f>C2*C3*(C5/1000)</f>
        <v>0</v>
      </c>
      <c r="F3" s="2"/>
      <c r="G3" s="2"/>
      <c r="H3" s="2"/>
    </row>
    <row r="4" spans="1:8" ht="16.8" thickTop="1" thickBot="1" x14ac:dyDescent="0.35">
      <c r="A4" s="39" t="s">
        <v>6</v>
      </c>
      <c r="B4" s="32" t="s">
        <v>7</v>
      </c>
      <c r="C4" s="36"/>
      <c r="D4" s="99"/>
      <c r="E4" s="38">
        <f>(C5/100)*C4</f>
        <v>0</v>
      </c>
      <c r="F4" s="2"/>
      <c r="G4" s="2"/>
      <c r="H4" s="2"/>
    </row>
    <row r="5" spans="1:8" ht="17.399999999999999" thickTop="1" thickBot="1" x14ac:dyDescent="0.35">
      <c r="A5" s="32"/>
      <c r="B5" s="32" t="s">
        <v>48</v>
      </c>
      <c r="C5" s="36"/>
      <c r="D5" s="99"/>
      <c r="E5" s="40"/>
      <c r="F5" s="2"/>
      <c r="G5" s="2"/>
      <c r="H5" s="2"/>
    </row>
    <row r="6" spans="1:8" ht="15" thickTop="1" x14ac:dyDescent="0.3">
      <c r="A6" s="64"/>
      <c r="B6" s="65" t="s">
        <v>314</v>
      </c>
      <c r="C6" s="66"/>
      <c r="D6" s="64"/>
      <c r="E6" s="66"/>
    </row>
    <row r="8" spans="1:8" x14ac:dyDescent="0.3">
      <c r="D8" s="1"/>
      <c r="E8"/>
    </row>
    <row r="9" spans="1:8" x14ac:dyDescent="0.3">
      <c r="B9" s="3"/>
      <c r="C9" s="5"/>
      <c r="D9" s="5"/>
      <c r="E9" s="3"/>
      <c r="F9" s="3"/>
      <c r="G9" s="3"/>
    </row>
    <row r="10" spans="1:8" x14ac:dyDescent="0.3">
      <c r="C10" s="6"/>
    </row>
    <row r="11" spans="1:8" x14ac:dyDescent="0.3">
      <c r="C11" s="6"/>
    </row>
  </sheetData>
  <mergeCells count="1">
    <mergeCell ref="D3:D5"/>
  </mergeCells>
  <hyperlinks>
    <hyperlink ref="B6" location="'1'!A1" display="'1'!A1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84"/>
  <sheetViews>
    <sheetView workbookViewId="0">
      <selection activeCell="B1" sqref="B1"/>
    </sheetView>
  </sheetViews>
  <sheetFormatPr defaultRowHeight="14.4" x14ac:dyDescent="0.3"/>
  <cols>
    <col min="1" max="1" width="4.33203125" customWidth="1"/>
    <col min="2" max="2" width="24.5546875" customWidth="1"/>
    <col min="3" max="3" width="18.88671875" customWidth="1"/>
    <col min="4" max="4" width="26.5546875" customWidth="1"/>
    <col min="5" max="5" width="14.88671875" customWidth="1"/>
    <col min="6" max="6" width="6.5546875" customWidth="1"/>
    <col min="8" max="18" width="0" hidden="1" customWidth="1"/>
  </cols>
  <sheetData>
    <row r="1" spans="1:17" x14ac:dyDescent="0.3">
      <c r="A1" s="64"/>
      <c r="B1" s="65" t="s">
        <v>314</v>
      </c>
      <c r="C1" s="66"/>
      <c r="D1" s="64"/>
      <c r="E1" s="66"/>
    </row>
    <row r="2" spans="1:17" ht="16.8" thickBot="1" x14ac:dyDescent="0.4">
      <c r="A2" s="68" t="s">
        <v>315</v>
      </c>
      <c r="B2" s="68"/>
      <c r="C2" s="68"/>
      <c r="D2" s="68"/>
      <c r="E2" s="68"/>
      <c r="I2" s="24" t="s">
        <v>316</v>
      </c>
      <c r="J2" s="24" t="s">
        <v>317</v>
      </c>
      <c r="K2" s="24" t="s">
        <v>318</v>
      </c>
      <c r="O2" s="24" t="s">
        <v>316</v>
      </c>
      <c r="P2" s="24" t="s">
        <v>324</v>
      </c>
      <c r="Q2" s="24" t="s">
        <v>325</v>
      </c>
    </row>
    <row r="3" spans="1:17" ht="18.600000000000001" thickBot="1" x14ac:dyDescent="0.35">
      <c r="A3" s="15"/>
      <c r="B3" s="16" t="s">
        <v>319</v>
      </c>
      <c r="C3" s="69">
        <v>9</v>
      </c>
      <c r="D3" s="18"/>
      <c r="E3" s="70" t="s">
        <v>320</v>
      </c>
      <c r="I3" s="71">
        <v>8.4</v>
      </c>
      <c r="J3" s="1">
        <v>12.5</v>
      </c>
      <c r="K3" s="1">
        <v>87.5</v>
      </c>
      <c r="O3" s="71">
        <v>9.1999999999999993</v>
      </c>
      <c r="P3" s="1">
        <v>90</v>
      </c>
      <c r="Q3" s="1">
        <v>10</v>
      </c>
    </row>
    <row r="4" spans="1:17" ht="20.25" customHeight="1" x14ac:dyDescent="0.3">
      <c r="A4" s="15"/>
      <c r="B4" s="72">
        <f>VLOOKUP(C3,Table142[[pH]:[0.2M Ammonia]],2,0)</f>
        <v>36</v>
      </c>
      <c r="C4" s="16"/>
      <c r="D4" s="73" t="s">
        <v>321</v>
      </c>
      <c r="E4" s="74">
        <f>B4*(C6/100)</f>
        <v>0</v>
      </c>
      <c r="I4" s="71">
        <v>8.6</v>
      </c>
      <c r="J4" s="1">
        <v>18.5</v>
      </c>
      <c r="K4" s="1">
        <v>81.5</v>
      </c>
      <c r="O4" s="71">
        <v>9.4</v>
      </c>
      <c r="P4" s="1">
        <v>80</v>
      </c>
      <c r="Q4" s="1">
        <v>20</v>
      </c>
    </row>
    <row r="5" spans="1:17" ht="19.5" customHeight="1" thickBot="1" x14ac:dyDescent="0.35">
      <c r="A5" s="15"/>
      <c r="B5" s="72">
        <f>VLOOKUP(C3,Table142[[pH]:[0.2M ammonium chloride]],3,0)</f>
        <v>64</v>
      </c>
      <c r="C5" s="29"/>
      <c r="D5" s="73" t="s">
        <v>318</v>
      </c>
      <c r="E5" s="74">
        <f>B5*(C6/100)</f>
        <v>0</v>
      </c>
      <c r="I5" s="71">
        <v>8.8000000000000007</v>
      </c>
      <c r="J5" s="1">
        <v>26</v>
      </c>
      <c r="K5" s="1">
        <v>74</v>
      </c>
      <c r="O5" s="71">
        <v>9.6</v>
      </c>
      <c r="P5" s="1">
        <v>70</v>
      </c>
      <c r="Q5" s="1">
        <v>30</v>
      </c>
    </row>
    <row r="6" spans="1:17" ht="18.600000000000001" thickBot="1" x14ac:dyDescent="0.35">
      <c r="A6" s="22"/>
      <c r="B6" s="16" t="s">
        <v>21</v>
      </c>
      <c r="C6" s="69"/>
      <c r="D6" s="75"/>
      <c r="E6" s="21"/>
      <c r="I6" s="71">
        <v>9</v>
      </c>
      <c r="J6" s="1">
        <v>36</v>
      </c>
      <c r="K6" s="1">
        <v>64</v>
      </c>
      <c r="O6" s="71">
        <v>9.8000000000000007</v>
      </c>
      <c r="P6" s="1">
        <v>60</v>
      </c>
      <c r="Q6" s="1">
        <v>40</v>
      </c>
    </row>
    <row r="7" spans="1:17" x14ac:dyDescent="0.3">
      <c r="I7" s="71">
        <v>9.25</v>
      </c>
      <c r="J7" s="1">
        <v>50</v>
      </c>
      <c r="K7" s="1">
        <v>50</v>
      </c>
      <c r="O7" s="71">
        <v>9.9</v>
      </c>
      <c r="P7" s="1">
        <v>50</v>
      </c>
      <c r="Q7" s="1">
        <v>50</v>
      </c>
    </row>
    <row r="8" spans="1:17" ht="16.2" thickBot="1" x14ac:dyDescent="0.35">
      <c r="A8" s="68" t="s">
        <v>326</v>
      </c>
      <c r="B8" s="68"/>
      <c r="C8" s="68"/>
      <c r="D8" s="68"/>
      <c r="E8" s="68"/>
      <c r="I8" s="71">
        <v>9.4</v>
      </c>
      <c r="J8" s="1">
        <v>58.5</v>
      </c>
      <c r="K8" s="1">
        <v>41.5</v>
      </c>
      <c r="O8" s="71">
        <v>10.1</v>
      </c>
      <c r="P8" s="1">
        <v>40</v>
      </c>
      <c r="Q8" s="1">
        <v>60</v>
      </c>
    </row>
    <row r="9" spans="1:17" ht="18.600000000000001" thickBot="1" x14ac:dyDescent="0.35">
      <c r="A9" s="15"/>
      <c r="B9" s="16" t="s">
        <v>319</v>
      </c>
      <c r="C9" s="69">
        <v>9.8000000000000007</v>
      </c>
      <c r="D9" s="18"/>
      <c r="E9" s="70" t="s">
        <v>320</v>
      </c>
      <c r="I9" s="71">
        <v>9.6</v>
      </c>
      <c r="J9" s="1">
        <v>69</v>
      </c>
      <c r="K9" s="1">
        <v>31</v>
      </c>
      <c r="O9" s="71">
        <v>10.3</v>
      </c>
      <c r="P9" s="1">
        <v>30</v>
      </c>
      <c r="Q9" s="1">
        <v>70</v>
      </c>
    </row>
    <row r="10" spans="1:17" ht="15.6" x14ac:dyDescent="0.3">
      <c r="A10" s="15"/>
      <c r="B10" s="72">
        <f>VLOOKUP(C9,Table143[[pH]:[0.1M NaHCO3]],2,0)</f>
        <v>60</v>
      </c>
      <c r="C10" s="16"/>
      <c r="D10" s="73" t="s">
        <v>322</v>
      </c>
      <c r="E10" s="74">
        <f>B10*(C12/100)</f>
        <v>0</v>
      </c>
      <c r="I10" s="71">
        <v>9.8000000000000007</v>
      </c>
      <c r="J10" s="1">
        <v>78</v>
      </c>
      <c r="K10" s="1">
        <v>22</v>
      </c>
      <c r="O10" s="71">
        <v>10.5</v>
      </c>
      <c r="P10" s="1">
        <v>20</v>
      </c>
      <c r="Q10" s="1">
        <v>80</v>
      </c>
    </row>
    <row r="11" spans="1:17" ht="30.6" thickBot="1" x14ac:dyDescent="0.35">
      <c r="A11" s="15"/>
      <c r="B11" s="72">
        <f>VLOOKUP(C9,Table143[[pH]:[0.1M Na2CO3]],3,0)</f>
        <v>40</v>
      </c>
      <c r="C11" s="29"/>
      <c r="D11" s="73" t="s">
        <v>323</v>
      </c>
      <c r="E11" s="74">
        <f>B11*(C12/100)</f>
        <v>0</v>
      </c>
      <c r="I11" s="71">
        <v>10</v>
      </c>
      <c r="J11" s="1">
        <v>85</v>
      </c>
      <c r="K11" s="1">
        <v>15</v>
      </c>
      <c r="O11" s="71">
        <v>10.8</v>
      </c>
      <c r="P11" s="1">
        <v>10</v>
      </c>
      <c r="Q11" s="1">
        <v>90</v>
      </c>
    </row>
    <row r="12" spans="1:17" ht="18.600000000000001" thickBot="1" x14ac:dyDescent="0.35">
      <c r="A12" s="22"/>
      <c r="B12" s="16" t="s">
        <v>21</v>
      </c>
      <c r="C12" s="69"/>
      <c r="D12" s="75"/>
      <c r="E12" s="21"/>
      <c r="I12" s="71"/>
      <c r="J12" s="1"/>
      <c r="K12" s="1"/>
      <c r="O12" s="71"/>
      <c r="P12" s="1"/>
      <c r="Q12" s="1"/>
    </row>
    <row r="13" spans="1:17" x14ac:dyDescent="0.3">
      <c r="I13" s="71"/>
      <c r="J13" s="1"/>
      <c r="K13" s="1"/>
      <c r="O13" s="71"/>
      <c r="P13" s="1"/>
      <c r="Q13" s="1"/>
    </row>
    <row r="14" spans="1:17" ht="16.2" thickBot="1" x14ac:dyDescent="0.35">
      <c r="A14" s="68" t="s">
        <v>329</v>
      </c>
      <c r="B14" s="68"/>
      <c r="C14" s="68"/>
      <c r="D14" s="68"/>
      <c r="E14" s="68"/>
    </row>
    <row r="15" spans="1:17" ht="18.600000000000001" thickBot="1" x14ac:dyDescent="0.35">
      <c r="A15" s="15"/>
      <c r="B15" s="16" t="s">
        <v>319</v>
      </c>
      <c r="C15" s="69">
        <v>4</v>
      </c>
      <c r="D15" s="18"/>
      <c r="E15" s="70" t="s">
        <v>320</v>
      </c>
    </row>
    <row r="16" spans="1:17" ht="16.2" x14ac:dyDescent="0.35">
      <c r="A16" s="15"/>
      <c r="B16" s="72">
        <f>VLOOKUP(C15,Table144[[pH]:[0.1M citric acid]],2,0)</f>
        <v>59</v>
      </c>
      <c r="C16" s="16"/>
      <c r="D16" s="73" t="s">
        <v>327</v>
      </c>
      <c r="E16" s="76">
        <f>B16*(C18/100)</f>
        <v>0</v>
      </c>
      <c r="I16" s="24" t="s">
        <v>316</v>
      </c>
      <c r="J16" s="24" t="s">
        <v>327</v>
      </c>
      <c r="K16" s="24" t="s">
        <v>328</v>
      </c>
      <c r="N16" s="24" t="s">
        <v>316</v>
      </c>
      <c r="O16" s="24" t="s">
        <v>327</v>
      </c>
      <c r="P16" s="24" t="s">
        <v>331</v>
      </c>
    </row>
    <row r="17" spans="1:16" ht="16.2" thickBot="1" x14ac:dyDescent="0.35">
      <c r="A17" s="15"/>
      <c r="B17" s="72">
        <f>VLOOKUP(C15,Table144[[pH]:[0.1M trisodium citrate]],3,0)</f>
        <v>41</v>
      </c>
      <c r="C17" s="29"/>
      <c r="D17" s="73" t="s">
        <v>328</v>
      </c>
      <c r="E17" s="76">
        <f>B17*(C18/100)</f>
        <v>0</v>
      </c>
      <c r="I17" s="71">
        <v>3</v>
      </c>
      <c r="J17" s="1">
        <v>82</v>
      </c>
      <c r="K17" s="1">
        <v>18</v>
      </c>
      <c r="N17" s="71">
        <v>2.6</v>
      </c>
      <c r="O17" s="1">
        <v>89.1</v>
      </c>
      <c r="P17" s="1">
        <v>10.9</v>
      </c>
    </row>
    <row r="18" spans="1:16" ht="18.600000000000001" thickBot="1" x14ac:dyDescent="0.35">
      <c r="A18" s="22"/>
      <c r="B18" s="16" t="s">
        <v>21</v>
      </c>
      <c r="C18" s="69"/>
      <c r="D18" s="75"/>
      <c r="E18" s="21"/>
      <c r="I18" s="71">
        <v>3.2</v>
      </c>
      <c r="J18" s="6">
        <v>77.5</v>
      </c>
      <c r="K18" s="6">
        <v>22.5</v>
      </c>
      <c r="N18" s="71">
        <v>2.8</v>
      </c>
      <c r="O18" s="6">
        <v>84.15</v>
      </c>
      <c r="P18" s="6">
        <v>15.85</v>
      </c>
    </row>
    <row r="19" spans="1:16" x14ac:dyDescent="0.3">
      <c r="I19" s="71">
        <v>3.4</v>
      </c>
      <c r="J19" s="6">
        <v>73</v>
      </c>
      <c r="K19" s="6">
        <v>27</v>
      </c>
      <c r="N19" s="71">
        <v>3</v>
      </c>
      <c r="O19" s="6">
        <v>79.45</v>
      </c>
      <c r="P19" s="6">
        <v>20.55</v>
      </c>
    </row>
    <row r="20" spans="1:16" ht="16.2" thickBot="1" x14ac:dyDescent="0.35">
      <c r="A20" s="68" t="s">
        <v>332</v>
      </c>
      <c r="B20" s="68"/>
      <c r="C20" s="68"/>
      <c r="D20" s="68"/>
      <c r="E20" s="68"/>
      <c r="I20" s="71">
        <v>3.6</v>
      </c>
      <c r="J20" s="6">
        <v>68.5</v>
      </c>
      <c r="K20" s="6">
        <v>31.5</v>
      </c>
      <c r="N20" s="71">
        <v>3.2</v>
      </c>
      <c r="O20" s="6">
        <v>75.3</v>
      </c>
      <c r="P20" s="6">
        <v>24.7</v>
      </c>
    </row>
    <row r="21" spans="1:16" ht="18.600000000000001" thickBot="1" x14ac:dyDescent="0.35">
      <c r="A21" s="15"/>
      <c r="B21" s="16" t="s">
        <v>319</v>
      </c>
      <c r="C21" s="69">
        <v>5.6</v>
      </c>
      <c r="D21" s="18"/>
      <c r="E21" s="70" t="s">
        <v>320</v>
      </c>
      <c r="I21" s="71">
        <v>3.8</v>
      </c>
      <c r="J21" s="6">
        <v>63.5</v>
      </c>
      <c r="K21" s="6">
        <v>36.5</v>
      </c>
      <c r="N21" s="71">
        <v>3.4</v>
      </c>
      <c r="O21" s="6">
        <v>71.5</v>
      </c>
      <c r="P21" s="6">
        <v>28.5</v>
      </c>
    </row>
    <row r="22" spans="1:16" ht="15.6" x14ac:dyDescent="0.3">
      <c r="A22" s="15"/>
      <c r="B22" s="72">
        <f>VLOOKUP(C21,Table145[[pH]:[0.1M citric acid]],2,0)</f>
        <v>42</v>
      </c>
      <c r="C22" s="16"/>
      <c r="D22" s="73" t="s">
        <v>327</v>
      </c>
      <c r="E22" s="76">
        <f>B22*(C24/100)</f>
        <v>0</v>
      </c>
      <c r="I22" s="71">
        <v>4</v>
      </c>
      <c r="J22" s="6">
        <v>59</v>
      </c>
      <c r="K22" s="6">
        <v>41</v>
      </c>
      <c r="N22" s="71">
        <v>3.6</v>
      </c>
      <c r="O22" s="6">
        <v>67.8</v>
      </c>
      <c r="P22" s="6">
        <v>32.200000000000003</v>
      </c>
    </row>
    <row r="23" spans="1:16" ht="30.6" thickBot="1" x14ac:dyDescent="0.35">
      <c r="A23" s="15"/>
      <c r="B23" s="72">
        <f>VLOOKUP(C21,Table145[[pH]:[0.2M Na2HPO4]],3,0)</f>
        <v>58</v>
      </c>
      <c r="C23" s="29"/>
      <c r="D23" s="73" t="s">
        <v>330</v>
      </c>
      <c r="E23" s="76">
        <f>B23*(C24/100)</f>
        <v>0</v>
      </c>
      <c r="I23" s="71">
        <v>4.2</v>
      </c>
      <c r="J23" s="6">
        <v>54</v>
      </c>
      <c r="K23" s="6">
        <v>46</v>
      </c>
      <c r="N23" s="71">
        <v>3.8</v>
      </c>
      <c r="O23" s="6">
        <v>64.5</v>
      </c>
      <c r="P23" s="6">
        <v>35.5</v>
      </c>
    </row>
    <row r="24" spans="1:16" ht="18.600000000000001" thickBot="1" x14ac:dyDescent="0.35">
      <c r="A24" s="22"/>
      <c r="B24" s="16" t="s">
        <v>21</v>
      </c>
      <c r="C24" s="69"/>
      <c r="D24" s="75"/>
      <c r="E24" s="21"/>
      <c r="I24" s="71">
        <v>4.4000000000000004</v>
      </c>
      <c r="J24" s="6">
        <v>49.5</v>
      </c>
      <c r="K24" s="6">
        <v>50.5</v>
      </c>
      <c r="N24" s="71">
        <v>4</v>
      </c>
      <c r="O24" s="6">
        <v>61.45</v>
      </c>
      <c r="P24" s="6">
        <v>38.549999999999997</v>
      </c>
    </row>
    <row r="25" spans="1:16" x14ac:dyDescent="0.3">
      <c r="I25" s="71">
        <v>4.5999999999999996</v>
      </c>
      <c r="J25" s="6">
        <v>44.5</v>
      </c>
      <c r="K25" s="6">
        <v>55.5</v>
      </c>
      <c r="N25" s="71">
        <v>4.2</v>
      </c>
      <c r="O25" s="6">
        <v>58.6</v>
      </c>
      <c r="P25" s="6">
        <v>41.4</v>
      </c>
    </row>
    <row r="26" spans="1:16" ht="16.2" thickBot="1" x14ac:dyDescent="0.35">
      <c r="A26" s="68" t="s">
        <v>336</v>
      </c>
      <c r="B26" s="68"/>
      <c r="C26" s="68"/>
      <c r="D26" s="68"/>
      <c r="E26" s="68"/>
      <c r="I26" s="71">
        <v>4.8</v>
      </c>
      <c r="J26" s="6">
        <v>40</v>
      </c>
      <c r="K26" s="6">
        <v>60</v>
      </c>
      <c r="N26" s="71">
        <v>4.4000000000000004</v>
      </c>
      <c r="O26" s="6">
        <v>55.9</v>
      </c>
      <c r="P26" s="6">
        <v>44.1</v>
      </c>
    </row>
    <row r="27" spans="1:16" ht="18.600000000000001" thickBot="1" x14ac:dyDescent="0.35">
      <c r="A27" s="15"/>
      <c r="B27" s="16" t="s">
        <v>319</v>
      </c>
      <c r="C27" s="69">
        <v>3.7</v>
      </c>
      <c r="D27" s="18"/>
      <c r="E27" s="70" t="s">
        <v>320</v>
      </c>
      <c r="I27" s="71">
        <v>5</v>
      </c>
      <c r="J27" s="77">
        <v>35.5</v>
      </c>
      <c r="K27" s="6">
        <v>65</v>
      </c>
      <c r="N27" s="71">
        <v>4.5999999999999996</v>
      </c>
      <c r="O27" s="77">
        <v>53.25</v>
      </c>
      <c r="P27" s="6">
        <v>46.75</v>
      </c>
    </row>
    <row r="28" spans="1:16" ht="15.6" x14ac:dyDescent="0.3">
      <c r="A28" s="15"/>
      <c r="B28" s="72">
        <f>VLOOKUP(C27,Table146[[pH]:[0.2M Na ethanoate]],2,0)</f>
        <v>10</v>
      </c>
      <c r="C28" s="16"/>
      <c r="D28" s="73" t="s">
        <v>333</v>
      </c>
      <c r="E28" s="74">
        <f>B28*(C30/100)</f>
        <v>0</v>
      </c>
      <c r="I28" s="78">
        <v>5.2</v>
      </c>
      <c r="J28" s="77">
        <v>30.5</v>
      </c>
      <c r="K28" s="6">
        <v>69.5</v>
      </c>
      <c r="N28" s="78">
        <v>4.8</v>
      </c>
      <c r="O28" s="77">
        <v>50.7</v>
      </c>
      <c r="P28" s="6">
        <v>49.3</v>
      </c>
    </row>
    <row r="29" spans="1:16" ht="16.2" thickBot="1" x14ac:dyDescent="0.35">
      <c r="A29" s="15"/>
      <c r="B29" s="72">
        <f>VLOOKUP(C27,Table146[[pH]:[0.2M ethanoic acid]],3,0)</f>
        <v>90</v>
      </c>
      <c r="C29" s="29"/>
      <c r="D29" s="73" t="s">
        <v>334</v>
      </c>
      <c r="E29" s="74">
        <f>B29*(C30/100)</f>
        <v>0</v>
      </c>
      <c r="I29" s="78">
        <v>5.4</v>
      </c>
      <c r="J29" s="77">
        <v>25.5</v>
      </c>
      <c r="K29" s="77">
        <v>74.5</v>
      </c>
      <c r="N29" s="78">
        <v>5</v>
      </c>
      <c r="O29" s="77">
        <v>48.5</v>
      </c>
      <c r="P29" s="77">
        <v>51.5</v>
      </c>
    </row>
    <row r="30" spans="1:16" ht="18.600000000000001" thickBot="1" x14ac:dyDescent="0.35">
      <c r="A30" s="22"/>
      <c r="B30" s="16" t="s">
        <v>21</v>
      </c>
      <c r="C30" s="69"/>
      <c r="D30" s="75"/>
      <c r="E30" s="21"/>
      <c r="I30" s="78">
        <v>5.6</v>
      </c>
      <c r="J30" s="77">
        <v>21</v>
      </c>
      <c r="K30" s="77">
        <v>79</v>
      </c>
      <c r="N30" s="78">
        <v>5.2</v>
      </c>
      <c r="O30" s="77">
        <v>46.4</v>
      </c>
      <c r="P30" s="77">
        <v>53.6</v>
      </c>
    </row>
    <row r="31" spans="1:16" x14ac:dyDescent="0.3">
      <c r="I31" s="78">
        <v>5.8</v>
      </c>
      <c r="J31" s="77">
        <v>16</v>
      </c>
      <c r="K31" s="77">
        <v>84</v>
      </c>
      <c r="N31" s="78">
        <v>5.4</v>
      </c>
      <c r="O31" s="77">
        <v>44.25</v>
      </c>
      <c r="P31" s="77">
        <v>55.75</v>
      </c>
    </row>
    <row r="32" spans="1:16" ht="16.2" thickBot="1" x14ac:dyDescent="0.35">
      <c r="A32" s="68" t="s">
        <v>342</v>
      </c>
      <c r="B32" s="68"/>
      <c r="C32" s="68"/>
      <c r="D32" s="68"/>
      <c r="E32" s="68"/>
      <c r="I32" s="78">
        <v>6</v>
      </c>
      <c r="J32" s="77">
        <v>11.5</v>
      </c>
      <c r="K32" s="77">
        <v>88.5</v>
      </c>
      <c r="N32" s="78">
        <v>5.6</v>
      </c>
      <c r="O32" s="77">
        <v>42</v>
      </c>
      <c r="P32" s="77">
        <v>58</v>
      </c>
    </row>
    <row r="33" spans="1:16" ht="18.600000000000001" thickBot="1" x14ac:dyDescent="0.35">
      <c r="A33" s="15"/>
      <c r="B33" s="16" t="s">
        <v>319</v>
      </c>
      <c r="C33" s="69">
        <v>11</v>
      </c>
      <c r="D33" s="18"/>
      <c r="E33" s="70" t="s">
        <v>320</v>
      </c>
      <c r="I33" s="78">
        <v>6.2</v>
      </c>
      <c r="J33" s="77">
        <v>8</v>
      </c>
      <c r="K33" s="77">
        <v>92</v>
      </c>
      <c r="N33" s="78">
        <v>5.8</v>
      </c>
      <c r="O33" s="77">
        <v>39.549999999999997</v>
      </c>
      <c r="P33" s="77">
        <v>60.45</v>
      </c>
    </row>
    <row r="34" spans="1:16" ht="30" x14ac:dyDescent="0.3">
      <c r="A34" s="15"/>
      <c r="B34" s="72">
        <f>VLOOKUP(C33,Table147[[pH]:[0.1M NaHCO3]],2,0)</f>
        <v>22.7</v>
      </c>
      <c r="C34" s="16"/>
      <c r="D34" s="73" t="s">
        <v>323</v>
      </c>
      <c r="E34" s="74">
        <f>B34*(C36/100)</f>
        <v>0</v>
      </c>
      <c r="I34" s="78"/>
      <c r="J34" s="77"/>
      <c r="K34" s="77"/>
      <c r="N34" s="78">
        <v>6</v>
      </c>
      <c r="O34" s="77">
        <v>36.85</v>
      </c>
      <c r="P34" s="77">
        <v>63.15</v>
      </c>
    </row>
    <row r="35" spans="1:16" ht="16.2" thickBot="1" x14ac:dyDescent="0.35">
      <c r="A35" s="15"/>
      <c r="B35" s="72">
        <f>VLOOKUP(C33,Table147[[pH]:[0.05M sodium hydroxide]],3,0)</f>
        <v>50</v>
      </c>
      <c r="C35" s="29"/>
      <c r="D35" s="73" t="s">
        <v>337</v>
      </c>
      <c r="E35" s="74">
        <f>B35*(C36/100)</f>
        <v>0</v>
      </c>
      <c r="I35" s="78"/>
      <c r="J35" s="77"/>
      <c r="K35" s="77"/>
      <c r="N35" s="78">
        <v>6.2</v>
      </c>
      <c r="O35" s="77">
        <v>33.9</v>
      </c>
      <c r="P35" s="77">
        <v>66.099999999999994</v>
      </c>
    </row>
    <row r="36" spans="1:16" ht="18.600000000000001" thickBot="1" x14ac:dyDescent="0.35">
      <c r="A36" s="22"/>
      <c r="B36" s="16" t="s">
        <v>21</v>
      </c>
      <c r="C36" s="69"/>
      <c r="D36" s="100" t="s">
        <v>349</v>
      </c>
      <c r="E36" s="99"/>
      <c r="I36" s="78"/>
      <c r="J36" s="77"/>
      <c r="K36" s="77"/>
      <c r="N36" s="78">
        <v>6.4</v>
      </c>
      <c r="O36" s="77">
        <v>30.75</v>
      </c>
      <c r="P36" s="77">
        <v>69.25</v>
      </c>
    </row>
    <row r="37" spans="1:16" x14ac:dyDescent="0.3">
      <c r="I37" s="78"/>
      <c r="J37" s="6"/>
      <c r="K37" s="77"/>
      <c r="N37" s="78">
        <v>6.6</v>
      </c>
      <c r="O37" s="6">
        <v>27.25</v>
      </c>
      <c r="P37" s="77">
        <v>72.72</v>
      </c>
    </row>
    <row r="38" spans="1:16" ht="16.2" thickBot="1" x14ac:dyDescent="0.35">
      <c r="A38" s="68" t="s">
        <v>347</v>
      </c>
      <c r="B38" s="68"/>
      <c r="C38" s="68"/>
      <c r="D38" s="68"/>
      <c r="E38" s="68"/>
      <c r="I38" s="78"/>
      <c r="J38" s="77"/>
      <c r="K38" s="77"/>
      <c r="N38" s="78">
        <v>6.8</v>
      </c>
      <c r="O38" s="77">
        <v>22.75</v>
      </c>
      <c r="P38" s="77">
        <v>77.25</v>
      </c>
    </row>
    <row r="39" spans="1:16" ht="18" thickBot="1" x14ac:dyDescent="0.35">
      <c r="A39" s="15"/>
      <c r="B39" s="16" t="s">
        <v>319</v>
      </c>
      <c r="C39" s="69">
        <v>5.7</v>
      </c>
      <c r="D39" s="18"/>
      <c r="E39" s="70" t="s">
        <v>338</v>
      </c>
      <c r="I39" s="78"/>
      <c r="J39" s="77"/>
      <c r="K39" s="77"/>
      <c r="N39" s="78">
        <v>7</v>
      </c>
      <c r="O39" s="77">
        <v>17.649999999999999</v>
      </c>
      <c r="P39" s="77">
        <v>82.35</v>
      </c>
    </row>
    <row r="40" spans="1:16" ht="30" x14ac:dyDescent="0.3">
      <c r="A40" s="15"/>
      <c r="B40" s="72">
        <f>VLOOKUP(C39,Table148[[pH]:[KH2PO4]],2,0)</f>
        <v>22.4</v>
      </c>
      <c r="C40" s="16"/>
      <c r="D40" s="73" t="s">
        <v>195</v>
      </c>
      <c r="E40" s="76">
        <f>B40*(C42/1000)</f>
        <v>0</v>
      </c>
      <c r="I40" s="78"/>
      <c r="J40" s="77"/>
      <c r="K40" s="77"/>
      <c r="N40" s="78">
        <v>7.2</v>
      </c>
      <c r="O40" s="77">
        <v>13.06</v>
      </c>
      <c r="P40" s="77">
        <v>86.95</v>
      </c>
    </row>
    <row r="41" spans="1:16" ht="30.6" thickBot="1" x14ac:dyDescent="0.35">
      <c r="A41" s="15"/>
      <c r="B41" s="72">
        <f>VLOOKUP(C39,Table148[[pH]:[Na2HPO4.2H20]],3,0)</f>
        <v>3.49</v>
      </c>
      <c r="C41" s="29"/>
      <c r="D41" s="73" t="s">
        <v>339</v>
      </c>
      <c r="E41" s="76">
        <f>B41*(C42/1000)</f>
        <v>0</v>
      </c>
      <c r="I41" s="78"/>
      <c r="J41" s="77"/>
      <c r="K41" s="77"/>
      <c r="N41" s="78">
        <v>7.4</v>
      </c>
      <c r="O41" s="77">
        <v>9.15</v>
      </c>
      <c r="P41" s="77">
        <v>90.85</v>
      </c>
    </row>
    <row r="42" spans="1:16" ht="18.600000000000001" thickBot="1" x14ac:dyDescent="0.35">
      <c r="A42" s="22"/>
      <c r="B42" s="16" t="s">
        <v>21</v>
      </c>
      <c r="C42" s="69"/>
      <c r="D42" s="75"/>
      <c r="E42" s="21"/>
      <c r="I42" s="78"/>
      <c r="J42" s="77"/>
      <c r="K42" s="77"/>
      <c r="N42" s="78">
        <v>7.6</v>
      </c>
      <c r="O42" s="77">
        <v>6.35</v>
      </c>
      <c r="P42" s="77">
        <v>93.65</v>
      </c>
    </row>
    <row r="44" spans="1:16" ht="16.2" thickBot="1" x14ac:dyDescent="0.35">
      <c r="A44" s="68" t="s">
        <v>348</v>
      </c>
      <c r="B44" s="68"/>
      <c r="C44" s="68"/>
      <c r="D44" s="68"/>
      <c r="E44" s="68"/>
    </row>
    <row r="45" spans="1:16" ht="18" thickBot="1" x14ac:dyDescent="0.35">
      <c r="A45" s="15"/>
      <c r="B45" s="16" t="s">
        <v>319</v>
      </c>
      <c r="C45" s="69">
        <v>7.2</v>
      </c>
      <c r="D45" s="18"/>
      <c r="E45" s="70" t="s">
        <v>338</v>
      </c>
      <c r="I45" s="24" t="s">
        <v>316</v>
      </c>
      <c r="J45" s="24" t="s">
        <v>335</v>
      </c>
      <c r="K45" s="24" t="s">
        <v>334</v>
      </c>
    </row>
    <row r="46" spans="1:16" ht="16.2" x14ac:dyDescent="0.35">
      <c r="A46" s="15"/>
      <c r="B46" s="72">
        <f>VLOOKUP(C45,Table149[[pH]:[Tris HCl]],2,0)</f>
        <v>7.02</v>
      </c>
      <c r="C46" s="16"/>
      <c r="D46" s="73" t="s">
        <v>343</v>
      </c>
      <c r="E46" s="76">
        <f>B46*(C48/1000)</f>
        <v>0</v>
      </c>
      <c r="I46" s="71">
        <v>3.7</v>
      </c>
      <c r="J46" s="1">
        <v>10</v>
      </c>
      <c r="K46" s="1">
        <v>90</v>
      </c>
      <c r="N46" s="24" t="s">
        <v>316</v>
      </c>
      <c r="O46" s="24" t="s">
        <v>324</v>
      </c>
      <c r="P46" s="24" t="s">
        <v>337</v>
      </c>
    </row>
    <row r="47" spans="1:16" ht="16.2" thickBot="1" x14ac:dyDescent="0.35">
      <c r="A47" s="15"/>
      <c r="B47" s="72">
        <f>VLOOKUP(C45,Table149[[pH]:[Tris Base]],3,0)</f>
        <v>0.67</v>
      </c>
      <c r="C47" s="29"/>
      <c r="D47" s="73" t="s">
        <v>344</v>
      </c>
      <c r="E47" s="76">
        <f>B47*(C48/1000)</f>
        <v>0</v>
      </c>
      <c r="I47" s="71">
        <v>3.8</v>
      </c>
      <c r="J47" s="1">
        <v>12</v>
      </c>
      <c r="K47" s="1">
        <v>88</v>
      </c>
      <c r="N47" s="71">
        <v>9.6</v>
      </c>
      <c r="O47" s="1">
        <v>5</v>
      </c>
      <c r="P47" s="1">
        <v>50</v>
      </c>
    </row>
    <row r="48" spans="1:16" ht="18.600000000000001" thickBot="1" x14ac:dyDescent="0.35">
      <c r="A48" s="22"/>
      <c r="B48" s="16" t="s">
        <v>21</v>
      </c>
      <c r="C48" s="69"/>
      <c r="D48" s="75"/>
      <c r="E48" s="21"/>
      <c r="I48" s="71">
        <v>4</v>
      </c>
      <c r="J48" s="1">
        <v>18</v>
      </c>
      <c r="K48" s="1">
        <v>82</v>
      </c>
      <c r="N48" s="71">
        <v>9.8000000000000007</v>
      </c>
      <c r="O48" s="1">
        <v>6.2</v>
      </c>
      <c r="P48" s="1">
        <v>50</v>
      </c>
    </row>
    <row r="49" spans="9:16" x14ac:dyDescent="0.3">
      <c r="I49" s="71">
        <v>4.2</v>
      </c>
      <c r="J49" s="1">
        <v>26.5</v>
      </c>
      <c r="K49" s="1">
        <v>73.5</v>
      </c>
      <c r="N49" s="71">
        <v>10</v>
      </c>
      <c r="O49" s="1">
        <v>10.7</v>
      </c>
      <c r="P49" s="1">
        <v>50</v>
      </c>
    </row>
    <row r="50" spans="9:16" x14ac:dyDescent="0.3">
      <c r="I50" s="71">
        <v>4.4000000000000004</v>
      </c>
      <c r="J50" s="1">
        <v>37</v>
      </c>
      <c r="K50" s="1">
        <v>63</v>
      </c>
      <c r="N50" s="71">
        <v>10.199999999999999</v>
      </c>
      <c r="O50" s="1">
        <v>13.8</v>
      </c>
      <c r="P50" s="1">
        <v>50</v>
      </c>
    </row>
    <row r="51" spans="9:16" x14ac:dyDescent="0.3">
      <c r="I51" s="71">
        <v>4.5999999999999996</v>
      </c>
      <c r="J51" s="1">
        <v>49</v>
      </c>
      <c r="K51" s="1">
        <v>51</v>
      </c>
      <c r="N51" s="71">
        <v>10.4</v>
      </c>
      <c r="O51" s="1">
        <v>16.5</v>
      </c>
      <c r="P51" s="1">
        <v>50</v>
      </c>
    </row>
    <row r="52" spans="9:16" x14ac:dyDescent="0.3">
      <c r="I52" s="71">
        <v>4.8</v>
      </c>
      <c r="J52" s="1">
        <v>59</v>
      </c>
      <c r="K52" s="1">
        <v>41</v>
      </c>
      <c r="N52" s="71">
        <v>10.6</v>
      </c>
      <c r="O52" s="1">
        <v>19.100000000000001</v>
      </c>
      <c r="P52" s="1">
        <v>50</v>
      </c>
    </row>
    <row r="53" spans="9:16" x14ac:dyDescent="0.3">
      <c r="I53" s="71">
        <v>5</v>
      </c>
      <c r="J53" s="1">
        <v>70</v>
      </c>
      <c r="K53" s="1">
        <v>30</v>
      </c>
      <c r="N53" s="71">
        <v>10.8</v>
      </c>
      <c r="O53" s="1">
        <v>21.2</v>
      </c>
      <c r="P53" s="1">
        <v>50</v>
      </c>
    </row>
    <row r="54" spans="9:16" x14ac:dyDescent="0.3">
      <c r="I54" s="71">
        <v>5.2</v>
      </c>
      <c r="J54" s="1">
        <v>79</v>
      </c>
      <c r="K54" s="1">
        <v>21</v>
      </c>
      <c r="N54" s="71">
        <v>11</v>
      </c>
      <c r="O54" s="1">
        <v>22.7</v>
      </c>
      <c r="P54" s="1">
        <v>50</v>
      </c>
    </row>
    <row r="55" spans="9:16" x14ac:dyDescent="0.3">
      <c r="I55" s="71">
        <v>5.4</v>
      </c>
      <c r="J55" s="1">
        <v>86</v>
      </c>
      <c r="K55" s="1">
        <v>14</v>
      </c>
      <c r="N55" s="71"/>
      <c r="O55" s="1"/>
      <c r="P55" s="1"/>
    </row>
    <row r="56" spans="9:16" x14ac:dyDescent="0.3">
      <c r="I56" s="71">
        <v>5.6</v>
      </c>
      <c r="J56" s="1">
        <v>91</v>
      </c>
      <c r="K56" s="1">
        <v>9</v>
      </c>
      <c r="N56" s="71"/>
      <c r="O56" s="1"/>
      <c r="P56" s="1"/>
    </row>
    <row r="57" spans="9:16" x14ac:dyDescent="0.3">
      <c r="N57" s="71"/>
      <c r="O57" s="1"/>
      <c r="P57" s="1"/>
    </row>
    <row r="60" spans="9:16" ht="15.6" x14ac:dyDescent="0.35">
      <c r="I60" s="24" t="s">
        <v>316</v>
      </c>
      <c r="J60" s="24" t="s">
        <v>340</v>
      </c>
      <c r="K60" s="24" t="s">
        <v>341</v>
      </c>
      <c r="N60" s="24" t="s">
        <v>316</v>
      </c>
      <c r="O60" s="24" t="s">
        <v>345</v>
      </c>
      <c r="P60" s="24" t="s">
        <v>346</v>
      </c>
    </row>
    <row r="61" spans="9:16" x14ac:dyDescent="0.3">
      <c r="I61" s="71">
        <v>5.7</v>
      </c>
      <c r="J61" s="6">
        <v>22.4</v>
      </c>
      <c r="K61" s="6">
        <v>3.49</v>
      </c>
      <c r="N61" s="71">
        <v>7.2</v>
      </c>
      <c r="O61" s="6">
        <v>7.02</v>
      </c>
      <c r="P61" s="6">
        <v>0.67</v>
      </c>
    </row>
    <row r="62" spans="9:16" x14ac:dyDescent="0.3">
      <c r="I62" s="71">
        <v>5.8</v>
      </c>
      <c r="J62" s="6">
        <v>22.08</v>
      </c>
      <c r="K62" s="6">
        <v>4.29</v>
      </c>
      <c r="N62" s="71">
        <v>7.3</v>
      </c>
      <c r="O62" s="6">
        <v>6.85</v>
      </c>
      <c r="P62" s="6">
        <v>0.8</v>
      </c>
    </row>
    <row r="63" spans="9:16" x14ac:dyDescent="0.3">
      <c r="I63" s="71">
        <v>5.9</v>
      </c>
      <c r="J63" s="6">
        <v>21.6</v>
      </c>
      <c r="K63" s="6">
        <v>5.37</v>
      </c>
      <c r="N63" s="71">
        <v>7.4</v>
      </c>
      <c r="O63" s="6">
        <v>6.61</v>
      </c>
      <c r="P63" s="6">
        <v>0.97</v>
      </c>
    </row>
    <row r="64" spans="9:16" x14ac:dyDescent="0.3">
      <c r="I64" s="71">
        <v>6</v>
      </c>
      <c r="J64" s="6">
        <v>21.05</v>
      </c>
      <c r="K64" s="6">
        <v>6.6</v>
      </c>
      <c r="N64" s="71">
        <v>7.5</v>
      </c>
      <c r="O64" s="6">
        <v>6.35</v>
      </c>
      <c r="P64" s="6">
        <v>1.18</v>
      </c>
    </row>
    <row r="65" spans="9:16" x14ac:dyDescent="0.3">
      <c r="I65" s="71">
        <v>6.1</v>
      </c>
      <c r="J65" s="6">
        <v>20.399999999999999</v>
      </c>
      <c r="K65" s="6">
        <v>8.0500000000000007</v>
      </c>
      <c r="N65" s="71">
        <v>7.6</v>
      </c>
      <c r="O65" s="6">
        <v>6.06</v>
      </c>
      <c r="P65" s="6">
        <v>1.39</v>
      </c>
    </row>
    <row r="66" spans="9:16" x14ac:dyDescent="0.3">
      <c r="I66" s="71">
        <v>6.2</v>
      </c>
      <c r="J66" s="6">
        <v>19.559999999999999</v>
      </c>
      <c r="K66" s="6">
        <v>9.93</v>
      </c>
      <c r="N66" s="71">
        <v>7.7</v>
      </c>
      <c r="O66" s="6">
        <v>5.72</v>
      </c>
      <c r="P66" s="6">
        <v>1.66</v>
      </c>
    </row>
    <row r="67" spans="9:16" x14ac:dyDescent="0.3">
      <c r="I67" s="71">
        <v>6.3</v>
      </c>
      <c r="J67" s="6">
        <v>18.600000000000001</v>
      </c>
      <c r="K67" s="6">
        <v>12.07</v>
      </c>
      <c r="N67" s="71">
        <v>7.8</v>
      </c>
      <c r="O67" s="6">
        <v>5.32</v>
      </c>
      <c r="P67" s="6">
        <v>1.97</v>
      </c>
    </row>
    <row r="68" spans="9:16" x14ac:dyDescent="0.3">
      <c r="I68" s="71">
        <v>6.4</v>
      </c>
      <c r="J68" s="6">
        <v>17.64</v>
      </c>
      <c r="K68" s="6">
        <v>14.22</v>
      </c>
      <c r="N68" s="71">
        <v>7.9</v>
      </c>
      <c r="O68" s="6">
        <v>4.88</v>
      </c>
      <c r="P68" s="6">
        <v>2.2999999999999998</v>
      </c>
    </row>
    <row r="69" spans="9:16" x14ac:dyDescent="0.3">
      <c r="I69" s="71">
        <v>6.5</v>
      </c>
      <c r="J69" s="6">
        <v>16.440000000000001</v>
      </c>
      <c r="K69" s="6">
        <v>16.899999999999999</v>
      </c>
      <c r="N69" s="71">
        <v>8</v>
      </c>
      <c r="O69" s="6">
        <v>4.4400000000000004</v>
      </c>
      <c r="P69" s="6">
        <v>2.65</v>
      </c>
    </row>
    <row r="70" spans="9:16" x14ac:dyDescent="0.3">
      <c r="I70" s="71">
        <v>6.6</v>
      </c>
      <c r="J70" s="6">
        <v>15</v>
      </c>
      <c r="K70" s="6">
        <v>20.12</v>
      </c>
      <c r="N70" s="71">
        <v>8.1</v>
      </c>
      <c r="O70" s="6">
        <v>4.0199999999999996</v>
      </c>
      <c r="P70" s="6">
        <v>2.97</v>
      </c>
    </row>
    <row r="71" spans="9:16" x14ac:dyDescent="0.3">
      <c r="I71" s="71">
        <v>6.7</v>
      </c>
      <c r="J71" s="6">
        <v>13.56</v>
      </c>
      <c r="K71" s="6">
        <v>23.34</v>
      </c>
      <c r="N71" s="71">
        <v>8.1999999999999993</v>
      </c>
      <c r="O71" s="6">
        <v>3.54</v>
      </c>
      <c r="P71" s="6">
        <v>3.34</v>
      </c>
    </row>
    <row r="72" spans="9:16" x14ac:dyDescent="0.3">
      <c r="I72" s="78">
        <v>6.8</v>
      </c>
      <c r="J72" s="6">
        <v>12.24</v>
      </c>
      <c r="K72" s="77">
        <v>26.29</v>
      </c>
      <c r="N72" s="78">
        <v>8.3000000000000007</v>
      </c>
      <c r="O72" s="6">
        <v>3.07</v>
      </c>
      <c r="P72" s="77">
        <v>3.7</v>
      </c>
    </row>
    <row r="73" spans="9:16" x14ac:dyDescent="0.3">
      <c r="I73" s="78">
        <v>6.9</v>
      </c>
      <c r="J73" s="77">
        <v>10.8</v>
      </c>
      <c r="K73" s="77">
        <v>29.51</v>
      </c>
      <c r="N73" s="78">
        <v>8.4</v>
      </c>
      <c r="O73" s="77">
        <v>2.64</v>
      </c>
      <c r="P73" s="77">
        <v>4.03</v>
      </c>
    </row>
    <row r="74" spans="9:16" x14ac:dyDescent="0.3">
      <c r="I74" s="78">
        <v>7</v>
      </c>
      <c r="J74" s="77">
        <v>9.36</v>
      </c>
      <c r="K74" s="77">
        <v>32.729999999999997</v>
      </c>
      <c r="N74" s="78">
        <v>8.5</v>
      </c>
      <c r="O74" s="77">
        <v>2.21</v>
      </c>
      <c r="P74" s="77">
        <v>4.3600000000000003</v>
      </c>
    </row>
    <row r="75" spans="9:16" x14ac:dyDescent="0.3">
      <c r="I75" s="78">
        <v>7.1</v>
      </c>
      <c r="J75" s="77">
        <v>7.92</v>
      </c>
      <c r="K75" s="77">
        <v>35.950000000000003</v>
      </c>
      <c r="N75" s="78">
        <v>8.6</v>
      </c>
      <c r="O75" s="77">
        <v>1.83</v>
      </c>
      <c r="P75" s="77">
        <v>4.6500000000000004</v>
      </c>
    </row>
    <row r="76" spans="9:16" x14ac:dyDescent="0.3">
      <c r="I76" s="78">
        <v>7.2</v>
      </c>
      <c r="J76" s="77">
        <v>6.72</v>
      </c>
      <c r="K76" s="77">
        <v>38.630000000000003</v>
      </c>
      <c r="N76" s="78">
        <v>8.6999999999999993</v>
      </c>
      <c r="O76" s="77">
        <v>1.5</v>
      </c>
      <c r="P76" s="77">
        <v>4.9000000000000004</v>
      </c>
    </row>
    <row r="77" spans="9:16" x14ac:dyDescent="0.3">
      <c r="I77" s="78">
        <v>7.3</v>
      </c>
      <c r="J77" s="77">
        <v>5.52</v>
      </c>
      <c r="K77" s="77">
        <v>41.31</v>
      </c>
      <c r="N77" s="78">
        <v>8.8000000000000007</v>
      </c>
      <c r="O77" s="77">
        <v>1.23</v>
      </c>
      <c r="P77" s="77">
        <v>5.13</v>
      </c>
    </row>
    <row r="78" spans="9:16" x14ac:dyDescent="0.3">
      <c r="I78" s="78">
        <v>7.4</v>
      </c>
      <c r="J78" s="77">
        <v>4.5599999999999996</v>
      </c>
      <c r="K78" s="77">
        <v>43.46</v>
      </c>
      <c r="N78" s="78">
        <v>8.9</v>
      </c>
      <c r="O78" s="77">
        <v>0.96</v>
      </c>
      <c r="P78" s="77">
        <v>5.32</v>
      </c>
    </row>
    <row r="79" spans="9:16" x14ac:dyDescent="0.3">
      <c r="I79" s="78">
        <v>7.5</v>
      </c>
      <c r="J79" s="77">
        <v>3.84</v>
      </c>
      <c r="K79" s="77">
        <v>45.07</v>
      </c>
      <c r="N79" s="78">
        <v>9</v>
      </c>
      <c r="O79" s="77">
        <v>0.76</v>
      </c>
      <c r="P79" s="77">
        <v>5.47</v>
      </c>
    </row>
    <row r="80" spans="9:16" x14ac:dyDescent="0.3">
      <c r="I80" s="78">
        <v>7.6</v>
      </c>
      <c r="J80" s="77">
        <v>3.12</v>
      </c>
      <c r="K80" s="77">
        <v>46.68</v>
      </c>
      <c r="N80" s="78"/>
      <c r="O80" s="77"/>
      <c r="P80" s="77"/>
    </row>
    <row r="81" spans="9:16" x14ac:dyDescent="0.3">
      <c r="I81" s="78">
        <v>7.7</v>
      </c>
      <c r="J81" s="77">
        <v>2.52</v>
      </c>
      <c r="K81" s="77">
        <v>48.55</v>
      </c>
      <c r="N81" s="78"/>
      <c r="O81" s="77"/>
      <c r="P81" s="77"/>
    </row>
    <row r="82" spans="9:16" x14ac:dyDescent="0.3">
      <c r="I82" s="78">
        <v>7.8</v>
      </c>
      <c r="J82" s="77">
        <v>2.04</v>
      </c>
      <c r="K82" s="77">
        <v>49.09</v>
      </c>
      <c r="N82" s="78"/>
      <c r="O82" s="77"/>
      <c r="P82" s="77"/>
    </row>
    <row r="83" spans="9:16" x14ac:dyDescent="0.3">
      <c r="I83" s="78">
        <v>7.9</v>
      </c>
      <c r="J83" s="77">
        <v>1.68</v>
      </c>
      <c r="K83" s="77">
        <v>49.89</v>
      </c>
      <c r="N83" s="78"/>
      <c r="O83" s="77"/>
      <c r="P83" s="77"/>
    </row>
    <row r="84" spans="9:16" x14ac:dyDescent="0.3">
      <c r="I84" s="78">
        <v>8</v>
      </c>
      <c r="J84" s="77">
        <v>1.27</v>
      </c>
      <c r="K84" s="77">
        <v>50.81</v>
      </c>
      <c r="N84" s="78"/>
      <c r="O84" s="77"/>
      <c r="P84" s="77"/>
    </row>
  </sheetData>
  <mergeCells count="1">
    <mergeCell ref="D36:E36"/>
  </mergeCells>
  <dataValidations count="7">
    <dataValidation type="list" allowBlank="1" showInputMessage="1" showErrorMessage="1" sqref="C3" xr:uid="{00000000-0002-0000-0700-000000000000}">
      <formula1>$I$3:$I$13</formula1>
    </dataValidation>
    <dataValidation type="list" allowBlank="1" showInputMessage="1" showErrorMessage="1" sqref="C9" xr:uid="{00000000-0002-0000-0700-000001000000}">
      <formula1>$O$3:$O$11</formula1>
    </dataValidation>
    <dataValidation type="list" allowBlank="1" showInputMessage="1" showErrorMessage="1" sqref="C15" xr:uid="{00000000-0002-0000-0700-000002000000}">
      <formula1>$I$17:$I$33</formula1>
    </dataValidation>
    <dataValidation type="list" allowBlank="1" showInputMessage="1" showErrorMessage="1" sqref="C21 C45" xr:uid="{00000000-0002-0000-0700-000003000000}">
      <formula1>$N$17:$N$42</formula1>
    </dataValidation>
    <dataValidation type="list" allowBlank="1" showInputMessage="1" showErrorMessage="1" sqref="C27" xr:uid="{00000000-0002-0000-0700-000004000000}">
      <formula1>$I$46:$I$56</formula1>
    </dataValidation>
    <dataValidation type="list" allowBlank="1" showInputMessage="1" showErrorMessage="1" sqref="C33" xr:uid="{00000000-0002-0000-0700-000005000000}">
      <formula1>$N$47:$N$54</formula1>
    </dataValidation>
    <dataValidation type="list" allowBlank="1" showInputMessage="1" showErrorMessage="1" sqref="C39" xr:uid="{00000000-0002-0000-0700-000006000000}">
      <formula1>$I$61:$I$84</formula1>
    </dataValidation>
  </dataValidations>
  <hyperlinks>
    <hyperlink ref="B1" location="'1'!A1" display="'1'!A1" xr:uid="{00000000-0004-0000-0700-000000000000}"/>
  </hyperlinks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6"/>
  <sheetViews>
    <sheetView workbookViewId="0">
      <selection activeCell="A6" sqref="A6:E6"/>
    </sheetView>
  </sheetViews>
  <sheetFormatPr defaultRowHeight="14.4" x14ac:dyDescent="0.3"/>
  <cols>
    <col min="1" max="1" width="3.44140625" customWidth="1"/>
    <col min="2" max="2" width="22.5546875" customWidth="1"/>
    <col min="3" max="3" width="30.33203125" style="1" customWidth="1"/>
    <col min="4" max="4" width="20.88671875" customWidth="1"/>
    <col min="5" max="5" width="8.88671875" style="1" customWidth="1"/>
    <col min="6" max="6" width="4.6640625" customWidth="1"/>
    <col min="8" max="8" width="10.88671875" bestFit="1" customWidth="1"/>
  </cols>
  <sheetData>
    <row r="1" spans="1:8" ht="15.6" x14ac:dyDescent="0.3">
      <c r="A1" s="7"/>
      <c r="B1" s="8" t="s">
        <v>0</v>
      </c>
      <c r="C1" s="9" t="s">
        <v>66</v>
      </c>
      <c r="D1" s="8" t="s">
        <v>2</v>
      </c>
      <c r="E1" s="10">
        <f>IF(ISBLANK(C3),E4,E3)</f>
        <v>0</v>
      </c>
      <c r="H1" s="2"/>
    </row>
    <row r="2" spans="1:8" ht="15" thickBot="1" x14ac:dyDescent="0.35">
      <c r="A2" s="7"/>
      <c r="B2" s="7" t="s">
        <v>3</v>
      </c>
      <c r="C2" s="9">
        <f>VLOOKUP(C1,Table17[],2,0)</f>
        <v>199.89</v>
      </c>
      <c r="D2" s="7"/>
      <c r="E2" s="7"/>
    </row>
    <row r="3" spans="1:8" ht="16.8" thickTop="1" thickBot="1" x14ac:dyDescent="0.35">
      <c r="A3" s="7"/>
      <c r="B3" s="7" t="s">
        <v>4</v>
      </c>
      <c r="C3" s="11"/>
      <c r="D3" s="98" t="s">
        <v>5</v>
      </c>
      <c r="E3" s="12">
        <f>C2*C3*(C5/1000)</f>
        <v>0</v>
      </c>
      <c r="F3" s="2"/>
      <c r="G3" s="2"/>
      <c r="H3" s="2"/>
    </row>
    <row r="4" spans="1:8" ht="16.8" thickTop="1" thickBot="1" x14ac:dyDescent="0.35">
      <c r="A4" s="13" t="s">
        <v>6</v>
      </c>
      <c r="B4" s="7" t="s">
        <v>7</v>
      </c>
      <c r="C4" s="11"/>
      <c r="D4" s="98"/>
      <c r="E4" s="12">
        <f>(C5/100)*C4</f>
        <v>0</v>
      </c>
      <c r="F4" s="2"/>
      <c r="G4" s="2"/>
      <c r="H4" s="2"/>
    </row>
    <row r="5" spans="1:8" ht="17.399999999999999" thickTop="1" thickBot="1" x14ac:dyDescent="0.35">
      <c r="A5" s="7"/>
      <c r="B5" s="7" t="s">
        <v>8</v>
      </c>
      <c r="C5" s="11"/>
      <c r="D5" s="98"/>
      <c r="E5" s="14"/>
      <c r="F5" s="2"/>
      <c r="G5" s="2"/>
      <c r="H5" s="2"/>
    </row>
    <row r="6" spans="1:8" ht="15" thickTop="1" x14ac:dyDescent="0.3">
      <c r="A6" s="64"/>
      <c r="B6" s="65" t="s">
        <v>314</v>
      </c>
      <c r="C6" s="66"/>
      <c r="D6" s="64"/>
      <c r="E6" s="66"/>
    </row>
    <row r="9" spans="1:8" x14ac:dyDescent="0.3">
      <c r="B9" t="s">
        <v>9</v>
      </c>
      <c r="C9" s="1" t="s">
        <v>10</v>
      </c>
      <c r="E9"/>
    </row>
    <row r="10" spans="1:8" x14ac:dyDescent="0.3">
      <c r="B10" s="52" t="s">
        <v>66</v>
      </c>
      <c r="C10" s="51">
        <v>199.89</v>
      </c>
      <c r="E10"/>
    </row>
    <row r="11" spans="1:8" x14ac:dyDescent="0.3">
      <c r="B11" s="3" t="s">
        <v>67</v>
      </c>
      <c r="C11" s="5">
        <v>219.08</v>
      </c>
      <c r="D11" s="3"/>
      <c r="E11" s="3"/>
      <c r="F11" s="3"/>
    </row>
    <row r="12" spans="1:8" x14ac:dyDescent="0.3">
      <c r="B12" s="52" t="s">
        <v>68</v>
      </c>
      <c r="C12" s="5">
        <v>293.89</v>
      </c>
      <c r="D12" s="3"/>
      <c r="E12" s="3"/>
      <c r="F12" s="3"/>
    </row>
    <row r="13" spans="1:8" x14ac:dyDescent="0.3">
      <c r="B13" s="3" t="s">
        <v>69</v>
      </c>
      <c r="C13" s="5">
        <v>130.11000000000001</v>
      </c>
      <c r="D13" s="3"/>
      <c r="E13" s="3"/>
      <c r="F13" s="3"/>
    </row>
    <row r="14" spans="1:8" x14ac:dyDescent="0.3">
      <c r="B14" s="3" t="s">
        <v>70</v>
      </c>
      <c r="C14" s="5">
        <v>236.15</v>
      </c>
      <c r="D14" s="3"/>
      <c r="E14" s="3"/>
      <c r="F14" s="3"/>
    </row>
    <row r="15" spans="1:8" x14ac:dyDescent="0.3">
      <c r="C15" s="6"/>
    </row>
    <row r="16" spans="1:8" x14ac:dyDescent="0.3">
      <c r="C16" s="6"/>
    </row>
  </sheetData>
  <mergeCells count="1">
    <mergeCell ref="D3:D5"/>
  </mergeCells>
  <dataValidations count="1">
    <dataValidation type="list" allowBlank="1" showInputMessage="1" showErrorMessage="1" sqref="C1" xr:uid="{00000000-0002-0000-0800-000000000000}">
      <formula1>$B$10:$B$14</formula1>
    </dataValidation>
  </dataValidations>
  <hyperlinks>
    <hyperlink ref="B6" location="'1'!A1" display="'1'!A1" xr:uid="{00000000-0004-0000-0800-000000000000}"/>
  </hyperlink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58</vt:i4>
      </vt:variant>
    </vt:vector>
  </HeadingPairs>
  <TitlesOfParts>
    <vt:vector size="58" baseType="lpstr">
      <vt:lpstr>1</vt:lpstr>
      <vt:lpstr>Al</vt:lpstr>
      <vt:lpstr>NH4OH</vt:lpstr>
      <vt:lpstr>NH4x</vt:lpstr>
      <vt:lpstr>Ba</vt:lpstr>
      <vt:lpstr>Ben</vt:lpstr>
      <vt:lpstr>Bi</vt:lpstr>
      <vt:lpstr>Buffers</vt:lpstr>
      <vt:lpstr>Ca</vt:lpstr>
      <vt:lpstr>Ce</vt:lpstr>
      <vt:lpstr>CrO4</vt:lpstr>
      <vt:lpstr>CrIII</vt:lpstr>
      <vt:lpstr>Co</vt:lpstr>
      <vt:lpstr>Cu</vt:lpstr>
      <vt:lpstr>CN-</vt:lpstr>
      <vt:lpstr>DiCr2O7</vt:lpstr>
      <vt:lpstr>ED's</vt:lpstr>
      <vt:lpstr>EtOOH</vt:lpstr>
      <vt:lpstr>EtOH</vt:lpstr>
      <vt:lpstr>Feh</vt:lpstr>
      <vt:lpstr>F-</vt:lpstr>
      <vt:lpstr>HCl</vt:lpstr>
      <vt:lpstr>H2O2</vt:lpstr>
      <vt:lpstr>IO3</vt:lpstr>
      <vt:lpstr>I2</vt:lpstr>
      <vt:lpstr>Iron</vt:lpstr>
      <vt:lpstr>Lead</vt:lpstr>
      <vt:lpstr>Li</vt:lpstr>
      <vt:lpstr>Mg</vt:lpstr>
      <vt:lpstr>Mn</vt:lpstr>
      <vt:lpstr>Hg</vt:lpstr>
      <vt:lpstr>MeOOH</vt:lpstr>
      <vt:lpstr>MeOH</vt:lpstr>
      <vt:lpstr>Naph-OH</vt:lpstr>
      <vt:lpstr>Ni</vt:lpstr>
      <vt:lpstr>NO3</vt:lpstr>
      <vt:lpstr>HNO3</vt:lpstr>
      <vt:lpstr>NO2</vt:lpstr>
      <vt:lpstr>Org Ac1</vt:lpstr>
      <vt:lpstr>Org Ac2</vt:lpstr>
      <vt:lpstr>Org Ac3</vt:lpstr>
      <vt:lpstr>Ph-OH</vt:lpstr>
      <vt:lpstr>PO4</vt:lpstr>
      <vt:lpstr>H3PO4</vt:lpstr>
      <vt:lpstr>K+</vt:lpstr>
      <vt:lpstr>KOH</vt:lpstr>
      <vt:lpstr>KMnO4</vt:lpstr>
      <vt:lpstr>Pr-OOH</vt:lpstr>
      <vt:lpstr>Pr=O</vt:lpstr>
      <vt:lpstr>AG etc</vt:lpstr>
      <vt:lpstr>Na+</vt:lpstr>
      <vt:lpstr>NaOH</vt:lpstr>
      <vt:lpstr>SO3-4</vt:lpstr>
      <vt:lpstr>H2SO4</vt:lpstr>
      <vt:lpstr>SCN</vt:lpstr>
      <vt:lpstr>Tin</vt:lpstr>
      <vt:lpstr>Van</vt:lpstr>
      <vt:lpstr>Zn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Lloyd</dc:creator>
  <cp:lastModifiedBy>Chris Lloyd</cp:lastModifiedBy>
  <dcterms:created xsi:type="dcterms:W3CDTF">2013-09-19T12:38:43Z</dcterms:created>
  <dcterms:modified xsi:type="dcterms:W3CDTF">2022-01-12T12:36:44Z</dcterms:modified>
</cp:coreProperties>
</file>